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C2\Documents\PLAN 2025\GOTOV PLAN 2025\"/>
    </mc:Choice>
  </mc:AlternateContent>
  <xr:revisionPtr revIDLastSave="0" documentId="13_ncr:1_{5895F88F-D82D-45F6-801D-2EF3E811E165}" xr6:coauthVersionLast="47" xr6:coauthVersionMax="47" xr10:uidLastSave="{00000000-0000-0000-0000-000000000000}"/>
  <bookViews>
    <workbookView xWindow="-120" yWindow="-120" windowWidth="29040" windowHeight="15840" tabRatio="760" xr2:uid="{00000000-000D-0000-FFFF-FFFF00000000}"/>
  </bookViews>
  <sheets>
    <sheet name="SAŽETAK" sheetId="1" r:id="rId1"/>
    <sheet name=" Račun prihoda i rashoda -ek.kl" sheetId="8" r:id="rId2"/>
    <sheet name=" Račun prihoda i rashoda po izv" sheetId="3" r:id="rId3"/>
    <sheet name="Rashodi prema funkcijskoj kl" sheetId="5" r:id="rId4"/>
    <sheet name="Račun financiranja" sheetId="6" r:id="rId5"/>
    <sheet name="Višak-manjak i VPU" sheetId="11" r:id="rId6"/>
    <sheet name="POSEBNI DIO" sheetId="7" r:id="rId7"/>
    <sheet name="OBRAZLOŽENJE-opći dio" sheetId="9" r:id="rId8"/>
    <sheet name="OBRAZLOŽENJE-posebni dio" sheetId="10" r:id="rId9"/>
  </sheets>
  <definedNames>
    <definedName name="_xlnm.Print_Area" localSheetId="1">' Račun prihoda i rashoda -ek.kl'!$A$1:$H$30</definedName>
    <definedName name="_xlnm.Print_Area" localSheetId="2">' Račun prihoda i rashoda po izv'!$A$1:$H$30</definedName>
    <definedName name="_xlnm.Print_Area" localSheetId="6">'POSEBNI DIO'!$A$1:$I$97</definedName>
    <definedName name="_xlnm.Print_Area" localSheetId="4">'Račun financiranja'!$A$1:$H$34</definedName>
    <definedName name="_xlnm.Print_Area" localSheetId="3">'Rashodi prema funkcijskoj kl'!$A$1:$F$12</definedName>
    <definedName name="_xlnm.Print_Area" localSheetId="0">SAŽETAK!$A$1:$K$58</definedName>
    <definedName name="_xlnm.Print_Area" localSheetId="5">'Višak-manjak i VPU'!$A$1:$H$19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7" l="1"/>
  <c r="G53" i="7"/>
  <c r="F9" i="7"/>
  <c r="H9" i="7"/>
  <c r="I9" i="7"/>
  <c r="E9" i="7"/>
  <c r="K48" i="1" l="1"/>
  <c r="J48" i="1"/>
  <c r="I48" i="1"/>
  <c r="H48" i="1"/>
  <c r="G48" i="1"/>
  <c r="D14" i="3"/>
  <c r="H19" i="11" l="1"/>
  <c r="H16" i="11"/>
  <c r="G16" i="11"/>
  <c r="F16" i="11"/>
  <c r="E16" i="11"/>
  <c r="E12" i="11" s="1"/>
  <c r="E11" i="11" s="1"/>
  <c r="E10" i="11" s="1"/>
  <c r="D16" i="11"/>
  <c r="H13" i="11"/>
  <c r="H12" i="11" s="1"/>
  <c r="H11" i="11" s="1"/>
  <c r="H10" i="11" s="1"/>
  <c r="G13" i="11"/>
  <c r="G19" i="11" s="1"/>
  <c r="F13" i="11"/>
  <c r="F12" i="11" s="1"/>
  <c r="F11" i="11" s="1"/>
  <c r="F10" i="11" s="1"/>
  <c r="E13" i="11"/>
  <c r="D13" i="11"/>
  <c r="D12" i="11" s="1"/>
  <c r="D11" i="11" s="1"/>
  <c r="D10" i="11" s="1"/>
  <c r="G12" i="11"/>
  <c r="G11" i="11" s="1"/>
  <c r="G10" i="11" s="1"/>
  <c r="D19" i="11" l="1"/>
  <c r="E19" i="11"/>
  <c r="F19" i="11"/>
  <c r="F27" i="3" l="1"/>
  <c r="F24" i="3"/>
  <c r="F24" i="8"/>
  <c r="F22" i="3"/>
  <c r="F17" i="8"/>
  <c r="F12" i="3"/>
  <c r="D12" i="5"/>
  <c r="G23" i="7"/>
  <c r="I57" i="7" l="1"/>
  <c r="I56" i="7" s="1"/>
  <c r="H57" i="7"/>
  <c r="H56" i="7" s="1"/>
  <c r="G57" i="7"/>
  <c r="G56" i="7" s="1"/>
  <c r="F57" i="7"/>
  <c r="F56" i="7" s="1"/>
  <c r="E57" i="7"/>
  <c r="E56" i="7" s="1"/>
  <c r="G32" i="7"/>
  <c r="I35" i="7"/>
  <c r="I34" i="7" s="1"/>
  <c r="I14" i="7" s="1"/>
  <c r="H35" i="7"/>
  <c r="H34" i="7" s="1"/>
  <c r="H14" i="7" s="1"/>
  <c r="G35" i="7"/>
  <c r="G34" i="7" s="1"/>
  <c r="G14" i="7" s="1"/>
  <c r="F35" i="7"/>
  <c r="F34" i="7" s="1"/>
  <c r="F14" i="7" s="1"/>
  <c r="E35" i="7"/>
  <c r="E34" i="7" s="1"/>
  <c r="E14" i="7" s="1"/>
  <c r="F25" i="8" l="1"/>
  <c r="F23" i="8" s="1"/>
  <c r="G48" i="7" l="1"/>
  <c r="H48" i="7"/>
  <c r="I48" i="7"/>
  <c r="F48" i="7"/>
  <c r="G45" i="7"/>
  <c r="H45" i="7"/>
  <c r="I45" i="7"/>
  <c r="F45" i="7"/>
  <c r="G38" i="7"/>
  <c r="H38" i="7"/>
  <c r="I38" i="7"/>
  <c r="F38" i="7"/>
  <c r="G30" i="7"/>
  <c r="H30" i="7"/>
  <c r="I30" i="7"/>
  <c r="F30" i="7"/>
  <c r="G26" i="7"/>
  <c r="H26" i="7"/>
  <c r="I26" i="7"/>
  <c r="F26" i="7"/>
  <c r="I42" i="7"/>
  <c r="I41" i="7" s="1"/>
  <c r="H42" i="7"/>
  <c r="H41" i="7" s="1"/>
  <c r="G42" i="7"/>
  <c r="G41" i="7" s="1"/>
  <c r="F42" i="7"/>
  <c r="F41" i="7" s="1"/>
  <c r="H29" i="3"/>
  <c r="G29" i="3"/>
  <c r="F29" i="3"/>
  <c r="E29" i="3"/>
  <c r="H26" i="3"/>
  <c r="G26" i="3"/>
  <c r="F26" i="3"/>
  <c r="F21" i="3" s="1"/>
  <c r="E26" i="3"/>
  <c r="H24" i="3"/>
  <c r="G24" i="3"/>
  <c r="E24" i="3"/>
  <c r="E22" i="3"/>
  <c r="H27" i="3"/>
  <c r="G27" i="3"/>
  <c r="E27" i="3"/>
  <c r="H30" i="8"/>
  <c r="G30" i="8"/>
  <c r="F30" i="8"/>
  <c r="F28" i="8" s="1"/>
  <c r="F22" i="8" s="1"/>
  <c r="E30" i="8"/>
  <c r="H25" i="8"/>
  <c r="G25" i="8"/>
  <c r="E25" i="8"/>
  <c r="H24" i="8"/>
  <c r="G24" i="8"/>
  <c r="E24" i="8"/>
  <c r="H17" i="8"/>
  <c r="G17" i="8"/>
  <c r="H15" i="8"/>
  <c r="G15" i="8"/>
  <c r="F15" i="8"/>
  <c r="E15" i="8"/>
  <c r="H16" i="8"/>
  <c r="G16" i="8"/>
  <c r="F16" i="8"/>
  <c r="E16" i="8"/>
  <c r="F74" i="7" l="1"/>
  <c r="G74" i="7"/>
  <c r="H74" i="7"/>
  <c r="I74" i="7"/>
  <c r="E74" i="7"/>
  <c r="E13" i="6" l="1"/>
  <c r="E12" i="6" s="1"/>
  <c r="F13" i="6"/>
  <c r="F12" i="6" s="1"/>
  <c r="G13" i="6"/>
  <c r="G12" i="6" s="1"/>
  <c r="H13" i="6"/>
  <c r="H12" i="6" s="1"/>
  <c r="D13" i="6"/>
  <c r="D12" i="6" s="1"/>
  <c r="E10" i="6"/>
  <c r="F10" i="6"/>
  <c r="G10" i="6"/>
  <c r="H10" i="6"/>
  <c r="D10" i="6"/>
  <c r="H18" i="8" l="1"/>
  <c r="K18" i="1" s="1"/>
  <c r="G18" i="8"/>
  <c r="J18" i="1" s="1"/>
  <c r="F18" i="8"/>
  <c r="I18" i="1" s="1"/>
  <c r="E18" i="8"/>
  <c r="H18" i="1" s="1"/>
  <c r="D18" i="8"/>
  <c r="G18" i="1" s="1"/>
  <c r="G28" i="8" l="1"/>
  <c r="J21" i="1" s="1"/>
  <c r="H28" i="8"/>
  <c r="K21" i="1" s="1"/>
  <c r="I21" i="1"/>
  <c r="E28" i="8"/>
  <c r="H21" i="1" s="1"/>
  <c r="D28" i="8"/>
  <c r="G21" i="1" s="1"/>
  <c r="I20" i="1"/>
  <c r="D12" i="8"/>
  <c r="D11" i="8" s="1"/>
  <c r="H12" i="8"/>
  <c r="H11" i="8" s="1"/>
  <c r="F37" i="7"/>
  <c r="G37" i="7"/>
  <c r="H37" i="7"/>
  <c r="I37" i="7"/>
  <c r="E38" i="7"/>
  <c r="E37" i="7" s="1"/>
  <c r="F88" i="7"/>
  <c r="G88" i="7"/>
  <c r="H88" i="7"/>
  <c r="I88" i="7"/>
  <c r="E88" i="7"/>
  <c r="F12" i="8" l="1"/>
  <c r="E12" i="8"/>
  <c r="E11" i="8" s="1"/>
  <c r="G12" i="8"/>
  <c r="G11" i="8" s="1"/>
  <c r="G23" i="8"/>
  <c r="J20" i="1" s="1"/>
  <c r="K17" i="1"/>
  <c r="G17" i="1"/>
  <c r="E23" i="8"/>
  <c r="H20" i="1" s="1"/>
  <c r="D23" i="8"/>
  <c r="H23" i="8"/>
  <c r="H11" i="3"/>
  <c r="G11" i="3"/>
  <c r="F11" i="3"/>
  <c r="E11" i="3"/>
  <c r="E22" i="8" l="1"/>
  <c r="G22" i="8"/>
  <c r="J17" i="1"/>
  <c r="J16" i="1" s="1"/>
  <c r="J54" i="1" s="1"/>
  <c r="I17" i="1"/>
  <c r="I16" i="1" s="1"/>
  <c r="I54" i="1" s="1"/>
  <c r="F11" i="8"/>
  <c r="H17" i="1"/>
  <c r="H16" i="1" s="1"/>
  <c r="H54" i="1" s="1"/>
  <c r="D22" i="8"/>
  <c r="G20" i="1"/>
  <c r="K16" i="1"/>
  <c r="K54" i="1" s="1"/>
  <c r="H22" i="8"/>
  <c r="K20" i="1"/>
  <c r="H21" i="3"/>
  <c r="E21" i="3"/>
  <c r="G21" i="3"/>
  <c r="F22" i="7" l="1"/>
  <c r="F21" i="7" s="1"/>
  <c r="F94" i="7"/>
  <c r="G94" i="7"/>
  <c r="H94" i="7"/>
  <c r="I94" i="7"/>
  <c r="E94" i="7"/>
  <c r="F91" i="7"/>
  <c r="F90" i="7" s="1"/>
  <c r="F87" i="7" s="1"/>
  <c r="F15" i="7" s="1"/>
  <c r="G91" i="7"/>
  <c r="G90" i="7" s="1"/>
  <c r="G87" i="7" s="1"/>
  <c r="G15" i="7" s="1"/>
  <c r="H91" i="7"/>
  <c r="H90" i="7" s="1"/>
  <c r="H87" i="7" s="1"/>
  <c r="H15" i="7" s="1"/>
  <c r="I91" i="7"/>
  <c r="I90" i="7" s="1"/>
  <c r="I87" i="7" s="1"/>
  <c r="I15" i="7" s="1"/>
  <c r="E91" i="7"/>
  <c r="E90" i="7" s="1"/>
  <c r="E87" i="7" s="1"/>
  <c r="E15" i="7" s="1"/>
  <c r="F83" i="7"/>
  <c r="G83" i="7"/>
  <c r="H83" i="7"/>
  <c r="I83" i="7"/>
  <c r="E83" i="7"/>
  <c r="F85" i="7"/>
  <c r="G85" i="7"/>
  <c r="H85" i="7"/>
  <c r="I85" i="7"/>
  <c r="E85" i="7"/>
  <c r="F78" i="7"/>
  <c r="G78" i="7"/>
  <c r="H78" i="7"/>
  <c r="I78" i="7"/>
  <c r="E78" i="7"/>
  <c r="F80" i="7"/>
  <c r="G80" i="7"/>
  <c r="H80" i="7"/>
  <c r="I80" i="7"/>
  <c r="E80" i="7"/>
  <c r="F73" i="7"/>
  <c r="G73" i="7"/>
  <c r="H73" i="7"/>
  <c r="I73" i="7"/>
  <c r="E73" i="7"/>
  <c r="F65" i="7"/>
  <c r="F64" i="7" s="1"/>
  <c r="G65" i="7"/>
  <c r="G64" i="7" s="1"/>
  <c r="H65" i="7"/>
  <c r="H64" i="7" s="1"/>
  <c r="I65" i="7"/>
  <c r="I64" i="7" s="1"/>
  <c r="E65" i="7"/>
  <c r="E64" i="7" s="1"/>
  <c r="F62" i="7"/>
  <c r="F61" i="7" s="1"/>
  <c r="G62" i="7"/>
  <c r="G61" i="7" s="1"/>
  <c r="H62" i="7"/>
  <c r="H61" i="7" s="1"/>
  <c r="I62" i="7"/>
  <c r="I61" i="7" s="1"/>
  <c r="E62" i="7"/>
  <c r="E61" i="7" s="1"/>
  <c r="F54" i="7"/>
  <c r="G54" i="7"/>
  <c r="H54" i="7"/>
  <c r="I54" i="7"/>
  <c r="E54" i="7"/>
  <c r="F52" i="7"/>
  <c r="E52" i="7"/>
  <c r="F47" i="7"/>
  <c r="G47" i="7"/>
  <c r="H47" i="7"/>
  <c r="I47" i="7"/>
  <c r="E48" i="7"/>
  <c r="E47" i="7" s="1"/>
  <c r="F44" i="7"/>
  <c r="F17" i="7" s="1"/>
  <c r="G44" i="7"/>
  <c r="G17" i="7" s="1"/>
  <c r="H44" i="7"/>
  <c r="H17" i="7" s="1"/>
  <c r="I44" i="7"/>
  <c r="I17" i="7" s="1"/>
  <c r="E45" i="7"/>
  <c r="E44" i="7" s="1"/>
  <c r="E17" i="7" s="1"/>
  <c r="F40" i="7"/>
  <c r="G40" i="7"/>
  <c r="H40" i="7"/>
  <c r="I40" i="7"/>
  <c r="E41" i="7"/>
  <c r="E40" i="7" s="1"/>
  <c r="F29" i="7"/>
  <c r="E30" i="7"/>
  <c r="E29" i="7" s="1"/>
  <c r="F25" i="7"/>
  <c r="E26" i="7"/>
  <c r="E25" i="7" s="1"/>
  <c r="H22" i="7"/>
  <c r="H21" i="7" s="1"/>
  <c r="I22" i="7"/>
  <c r="I21" i="7" s="1"/>
  <c r="E22" i="7"/>
  <c r="E21" i="7" s="1"/>
  <c r="E11" i="7" l="1"/>
  <c r="I11" i="7"/>
  <c r="H11" i="7"/>
  <c r="F11" i="7"/>
  <c r="F20" i="7"/>
  <c r="E20" i="7"/>
  <c r="F51" i="7"/>
  <c r="F50" i="7" s="1"/>
  <c r="H77" i="7"/>
  <c r="E82" i="7"/>
  <c r="F82" i="7"/>
  <c r="G77" i="7"/>
  <c r="G60" i="7"/>
  <c r="E77" i="7"/>
  <c r="E12" i="7" s="1"/>
  <c r="F77" i="7"/>
  <c r="F12" i="7" s="1"/>
  <c r="I82" i="7"/>
  <c r="E60" i="7"/>
  <c r="F60" i="7"/>
  <c r="I60" i="7"/>
  <c r="I77" i="7"/>
  <c r="H82" i="7"/>
  <c r="E51" i="7"/>
  <c r="E50" i="7" s="1"/>
  <c r="G82" i="7"/>
  <c r="H60" i="7"/>
  <c r="D11" i="3"/>
  <c r="G16" i="1" s="1"/>
  <c r="G54" i="1" s="1"/>
  <c r="F16" i="7" l="1"/>
  <c r="E16" i="7"/>
  <c r="H30" i="1"/>
  <c r="H31" i="1" s="1"/>
  <c r="I30" i="1"/>
  <c r="I31" i="1" s="1"/>
  <c r="J30" i="1"/>
  <c r="J31" i="1" s="1"/>
  <c r="K30" i="1"/>
  <c r="K31" i="1" s="1"/>
  <c r="G30" i="1"/>
  <c r="G31" i="1" s="1"/>
  <c r="E69" i="7"/>
  <c r="E68" i="7" s="1"/>
  <c r="E13" i="7" s="1"/>
  <c r="F69" i="7"/>
  <c r="F68" i="7" s="1"/>
  <c r="F13" i="7" s="1"/>
  <c r="E96" i="7"/>
  <c r="E93" i="7" s="1"/>
  <c r="F96" i="7"/>
  <c r="F93" i="7" s="1"/>
  <c r="G96" i="7"/>
  <c r="G93" i="7" s="1"/>
  <c r="H96" i="7"/>
  <c r="H93" i="7" s="1"/>
  <c r="I96" i="7"/>
  <c r="I93" i="7" s="1"/>
  <c r="H72" i="7" l="1"/>
  <c r="H18" i="7"/>
  <c r="F72" i="7"/>
  <c r="F18" i="7"/>
  <c r="F10" i="7" s="1"/>
  <c r="I72" i="7"/>
  <c r="I18" i="7"/>
  <c r="E72" i="7"/>
  <c r="E18" i="7"/>
  <c r="E10" i="7" s="1"/>
  <c r="G72" i="7"/>
  <c r="G18" i="7"/>
  <c r="E67" i="7"/>
  <c r="F67" i="7"/>
  <c r="I52" i="7"/>
  <c r="I51" i="7" s="1"/>
  <c r="H52" i="7"/>
  <c r="H51" i="7" s="1"/>
  <c r="G52" i="7"/>
  <c r="G51" i="7" s="1"/>
  <c r="I29" i="7"/>
  <c r="H29" i="7"/>
  <c r="G29" i="7"/>
  <c r="I25" i="7"/>
  <c r="I12" i="7" s="1"/>
  <c r="H25" i="7"/>
  <c r="H12" i="7" s="1"/>
  <c r="G22" i="7"/>
  <c r="G21" i="7" s="1"/>
  <c r="G11" i="7" s="1"/>
  <c r="G25" i="7"/>
  <c r="G12" i="7" s="1"/>
  <c r="I50" i="7" l="1"/>
  <c r="I16" i="7"/>
  <c r="H50" i="7"/>
  <c r="H16" i="7"/>
  <c r="G16" i="7"/>
  <c r="H20" i="7"/>
  <c r="I20" i="7"/>
  <c r="G20" i="7"/>
  <c r="I69" i="7"/>
  <c r="I68" i="7" s="1"/>
  <c r="I13" i="7" s="1"/>
  <c r="I10" i="7" s="1"/>
  <c r="G69" i="7"/>
  <c r="G68" i="7" s="1"/>
  <c r="G67" i="7" s="1"/>
  <c r="H69" i="7"/>
  <c r="H68" i="7" s="1"/>
  <c r="H67" i="7" s="1"/>
  <c r="H13" i="7" l="1"/>
  <c r="H10" i="7" s="1"/>
  <c r="G13" i="7"/>
  <c r="G10" i="7" s="1"/>
  <c r="G9" i="7" s="1"/>
  <c r="I67" i="7"/>
  <c r="D11" i="5" l="1"/>
  <c r="D10" i="5" s="1"/>
  <c r="D9" i="5" s="1"/>
  <c r="E11" i="5"/>
  <c r="E10" i="5" s="1"/>
  <c r="E9" i="5" s="1"/>
  <c r="F11" i="5"/>
  <c r="F10" i="5" s="1"/>
  <c r="F9" i="5" s="1"/>
  <c r="B11" i="5"/>
  <c r="B10" i="5" s="1"/>
  <c r="B9" i="5" s="1"/>
  <c r="D21" i="3" l="1"/>
  <c r="G19" i="1"/>
  <c r="I19" i="1"/>
  <c r="I55" i="1" s="1"/>
  <c r="H19" i="1"/>
  <c r="H55" i="1" s="1"/>
  <c r="H58" i="1" s="1"/>
  <c r="G19" i="7"/>
  <c r="E19" i="7"/>
  <c r="G55" i="1" l="1"/>
  <c r="G58" i="1" s="1"/>
  <c r="G22" i="1"/>
  <c r="G39" i="1" s="1"/>
  <c r="I58" i="1"/>
  <c r="I22" i="1"/>
  <c r="I39" i="1" s="1"/>
  <c r="H22" i="1"/>
  <c r="H39" i="1" s="1"/>
  <c r="F19" i="7"/>
  <c r="C11" i="5" l="1"/>
  <c r="C10" i="5" s="1"/>
  <c r="C9" i="5" s="1"/>
  <c r="H19" i="7" l="1"/>
  <c r="J19" i="1" l="1"/>
  <c r="K19" i="1"/>
  <c r="K55" i="1" s="1"/>
  <c r="J22" i="1" l="1"/>
  <c r="J39" i="1" s="1"/>
  <c r="J55" i="1"/>
  <c r="J58" i="1" s="1"/>
  <c r="K58" i="1"/>
  <c r="K22" i="1"/>
  <c r="K39" i="1" s="1"/>
  <c r="I19" i="7" l="1"/>
</calcChain>
</file>

<file path=xl/sharedStrings.xml><?xml version="1.0" encoding="utf-8"?>
<sst xmlns="http://schemas.openxmlformats.org/spreadsheetml/2006/main" count="540" uniqueCount="315">
  <si>
    <t>PRIHODI UKUPNO</t>
  </si>
  <si>
    <t>RASHODI UKUPNO</t>
  </si>
  <si>
    <t>RAZLIKA - VIŠAK / MANJAK</t>
  </si>
  <si>
    <t>NETO FINANCIRANJE</t>
  </si>
  <si>
    <t>Naziv prihoda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</si>
  <si>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</si>
  <si>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</si>
  <si>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</si>
  <si>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</si>
  <si>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</si>
  <si>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</si>
  <si>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</si>
  <si>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</si>
  <si>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</si>
  <si>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</si>
  <si>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</si>
  <si>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</si>
  <si>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</si>
  <si>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</si>
  <si>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</si>
  <si>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</si>
  <si>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</si>
  <si>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Pomoći iz inozemstva i od subjekata unutar općeg proračuna</t>
  </si>
  <si>
    <t>Rashodi za nabavu proizvedene dugotrajne imovine</t>
  </si>
  <si>
    <t>Naziv</t>
  </si>
  <si>
    <t>PROGRAM 4090</t>
  </si>
  <si>
    <t>DRUŠTVENA BRIGA O DJECI PREDŠKOLSKE DOBI</t>
  </si>
  <si>
    <t>Aktivnost A409001</t>
  </si>
  <si>
    <t>Izvor financiranja 1.1.</t>
  </si>
  <si>
    <t>Izvor financiranja 6.3.</t>
  </si>
  <si>
    <t>Aktivnost A409008</t>
  </si>
  <si>
    <t>Aktivnost A409009</t>
  </si>
  <si>
    <t>Stručno osposobljavanje za rad bez zasnivanja radnog odnosa</t>
  </si>
  <si>
    <t>Financijski rashodi</t>
  </si>
  <si>
    <t>Ostali rashodi</t>
  </si>
  <si>
    <t>Rahodi za nabavu nefinancijske imovine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</si>
  <si>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</si>
  <si>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</si>
  <si>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</si>
  <si>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</si>
  <si>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091 Predškolsko i osnovno obrazovanje</t>
  </si>
  <si>
    <t>09 Obrazovanje</t>
  </si>
  <si>
    <t>0911 Predškolsko obrazovanje</t>
  </si>
  <si>
    <t>Rezultat poslovanja</t>
  </si>
  <si>
    <t>Aktivnost A409011</t>
  </si>
  <si>
    <t>Nabava nefinancijske imovine</t>
  </si>
  <si>
    <t>Rashodi za nabavu neproizvedene dugotrajne imovine</t>
  </si>
  <si>
    <t>26338    DJEČJI VRTIĆ GRIGOR VITEZ</t>
  </si>
  <si>
    <t>Višak prihoda iz prethodne godine koji će se rasporediti</t>
  </si>
  <si>
    <t>Manjak prihoda iz prethodne godine za pokriće</t>
  </si>
  <si>
    <t>PRIHODI, PRIMICI I VIŠAK</t>
  </si>
  <si>
    <t>RASHODI, IZDACI I MANJAK</t>
  </si>
  <si>
    <t>RAZLIKA</t>
  </si>
  <si>
    <t>A) SAŽETAK RAČUNA PRIHODA I RASHODA</t>
  </si>
  <si>
    <t>B) SAŽETAK RAČUNA FINANCIRANJA</t>
  </si>
  <si>
    <t>Članak 1.</t>
  </si>
  <si>
    <t>sadrže:</t>
  </si>
  <si>
    <t xml:space="preserve">Na temelju članka 38. Zakona o proračunu (Narodne novine br.144/21) i članka 41. Statuta Dječjeg vrtića Grigor Vitez (Službene vijesti Grada Samobora </t>
  </si>
  <si>
    <t>Članak 2.</t>
  </si>
  <si>
    <t>A. RAČUN PRIHODA I RASHODA</t>
  </si>
  <si>
    <t>Članak 3.</t>
  </si>
  <si>
    <t>Članak 4.</t>
  </si>
  <si>
    <t>Članak 5.</t>
  </si>
  <si>
    <t>Brojčana oznaka i naziv</t>
  </si>
  <si>
    <t>UKUPAN DONOS VIŠKA / MANJKA IZ PRETHODNE(IH) GODINE</t>
  </si>
  <si>
    <t>Vlastiti izvori</t>
  </si>
  <si>
    <t>Višak prihoda</t>
  </si>
  <si>
    <t>Manjak prihoda</t>
  </si>
  <si>
    <t>C) PRENESENI VIŠAK/MANJAK PRIHODA NAD RASHODIMA</t>
  </si>
  <si>
    <t>Članak 6.</t>
  </si>
  <si>
    <t>Projekcija 
za 2026.</t>
  </si>
  <si>
    <t>RASHODI UKUPNO:</t>
  </si>
  <si>
    <t>PRIHODI UKUPNO:</t>
  </si>
  <si>
    <t>Projekcija
za 2026.</t>
  </si>
  <si>
    <t>Članak 7.</t>
  </si>
  <si>
    <t>Prihodi od prodaje nefinancijske
imovine</t>
  </si>
  <si>
    <t>Prihodi od prodaje proizvedene dugotrajne imovine</t>
  </si>
  <si>
    <t>Brojčana oznaka i naziv:</t>
  </si>
  <si>
    <t>Primici od zaduživanja</t>
  </si>
  <si>
    <t>Izdaci za otplatu glavnice primljenih kredita i zajmova</t>
  </si>
  <si>
    <t>Članak 8.</t>
  </si>
  <si>
    <t>DJEČJEG VRTIĆA GRIGOR VITEZ, SAMOBOR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</si>
  <si>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>PRIHODI POSLOVANJA</t>
    </r>
  </si>
  <si>
    <t>0,01% iz prihoda od nefinancijske imovine.</t>
  </si>
  <si>
    <t>Iz ovog izvora potrebna su još sredstva za troškove energije, dodatnog potrošnog materijala potrebnog u radu logopeda, troškova Okitoki aplikacije (32-materijalni rashodi).</t>
  </si>
  <si>
    <t>Izvor prihoda posebnih namjena sastoji se od uplata roditelja za naknadu za boravak djece u vrtiću.</t>
  </si>
  <si>
    <t>To su prihodi za fiskalnu održivost vrtića koje propisuje Vlada RH, prema Zakonu o predškolskom odgoju (članak 50a NN 57/22,101/23, stavak 2).</t>
  </si>
  <si>
    <t>Ovisi o ukupnom broju upisane djece na početku tekuće pedagoške godine za sljedeću pedagošku godinu.</t>
  </si>
  <si>
    <t>(Evidentiraju se u skupini 63 - Pomoći iz inozemstva i od subjekata unutar općeg proračuna.)</t>
  </si>
  <si>
    <t>U Dječji vrtiću Grigor Vitez sufinancira se program za djecu s teškoćama koja su integrirana u redovite odgojno-obrazovne skupine i program predškole.</t>
  </si>
  <si>
    <t>Iznos pomoći ovisi o broju upisane djece u navedene programe.</t>
  </si>
  <si>
    <r>
      <t>(Evidentiraju se u skupini 66 -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Prihodi od prodaje proizvoda i robe te pruženih usluga, prihodi od donacija te povrati po protestiranim jamstvima.)</t>
    </r>
  </si>
  <si>
    <t>Odnosi se na eventualne prihode od osiguravajućeg društva za nadoknadu štete.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</si>
  <si>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>RASHODI POSLOVANJA</t>
    </r>
  </si>
  <si>
    <t>Ukupni planirani rashodi iznose:</t>
  </si>
  <si>
    <t>Struktura rashoda prema izvorima jednaka je kao kod prihoda.</t>
  </si>
  <si>
    <t>Članak 9.</t>
  </si>
  <si>
    <t>OBRAZLOŽENJE POSEBNOG DIJELA FINANCIJSKOG PLANA</t>
  </si>
  <si>
    <t>Proračunski korisnik 26338 DJEČJI VRTIĆ GRIGOR VITEZ SAMOBOR</t>
  </si>
  <si>
    <t xml:space="preserve">Zakonske i druge pravne osnove programa: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</si>
  <si>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Državni pedagoški standard predškolskog odgoja i naobrazbe (NN 63/08 i 90/10)</t>
    </r>
  </si>
  <si>
    <r>
      <t>Razvojna mjera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2021.-2025. g).:</t>
    </r>
  </si>
  <si>
    <t>5. Briga o djeci</t>
  </si>
  <si>
    <t>Pokazatelji rezultata:</t>
  </si>
  <si>
    <t>Sukladno Prilogu 1. Provedbenog programa Grada Samobora za razdoblje 2021. – 2025.</t>
  </si>
  <si>
    <t>Obrazloženje aktivnosti/projekta</t>
  </si>
  <si>
    <t>Planirana sredstva</t>
  </si>
  <si>
    <t>2025.</t>
  </si>
  <si>
    <t>2026.</t>
  </si>
  <si>
    <t>Program predškole zajedno sa programom za djecu s teškoćama koja su integrirana u redovite odgojno-obrazovne skupine u DV Grigor Vitez sufinanciran je od strane Ministarstva znanosti i obrazovanja.</t>
  </si>
  <si>
    <t>Pokazatelj uspješnosti</t>
  </si>
  <si>
    <t>Definicija</t>
  </si>
  <si>
    <t>Jedinica</t>
  </si>
  <si>
    <t>Ukupni broj upisane djece</t>
  </si>
  <si>
    <t>Ukupni broj upisane djece u redovni 10-satni program i  djece uključene u kraći program predškole (akt. 5.1. Redovna djelatnost vrtića, PPGS)</t>
  </si>
  <si>
    <t>Broj</t>
  </si>
  <si>
    <t>Broj novoupisane djece</t>
  </si>
  <si>
    <t>Broj novoupisane djece (akt. 5.1. Redovna djelatnost vrtića, PPGS)</t>
  </si>
  <si>
    <t>Broj djece u kraćem programu predškole</t>
  </si>
  <si>
    <t>Broj djece obuhvaćene Univerzalnim sportskim programom</t>
  </si>
  <si>
    <t>Održavanjem programa utječe se na razvijanje svjesnosti stvaranja kvalitetnih uvjeta za rast i razvoj organizma te važnu ulogu u održavanju tjelesnog zdravlja.</t>
  </si>
  <si>
    <t>III. ZAVRŠNE ODREDBE</t>
  </si>
  <si>
    <t>PREDSJEDNICA UPRAVNOG VIJEĆA:</t>
  </si>
  <si>
    <t>Tatijana Lenart</t>
  </si>
  <si>
    <t>Prihodi poslovanja uključuju pomoći iz inozemstva i od subjekata unutar općeg proračuna, prihodi od imovine, prihodi od upravnih i administrativnih pristojbi, pristojbi po posebnim propisima i naknada, prihodi od prodaje proizvoda i robe te pruženih usluga, prihodi od donacija te povrati po protestiranim jamstvima, prihodi iz nadležnog proračuna i od HZZO-a temeljem ugovornih obveza.</t>
  </si>
  <si>
    <t>Isplata se vrši u više ciklusa.</t>
  </si>
  <si>
    <t>Cijena za djecu uključenu u Univerzalni sportski program uvećava se za 33,18 € mjesečno na redoviti iznos roditeljske uplate od 76,98 €.</t>
  </si>
  <si>
    <r>
      <t>Iz izvora 6.3. DV Grigor Vitez – Prihodi od nefinancijske imovine</t>
    </r>
    <r>
      <rPr>
        <sz val="11"/>
        <color theme="1"/>
        <rFont val="Calibri"/>
        <family val="2"/>
        <charset val="238"/>
        <scheme val="minor"/>
      </rPr>
      <t xml:space="preserve"> planira se kroz sve tri godine iznos od 146 €.</t>
    </r>
  </si>
  <si>
    <t>(Evidentiraju se u skupini 67 - Prihodi iz nadležnog proračuna i od HZZO-a temeljem ugovornih obveza.)</t>
  </si>
  <si>
    <r>
      <t xml:space="preserve">Od kapitalnih donacija očekuje  se eventualna nadopuna računala od strane Privredne banke te je planirano 7.000 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Calibri"/>
        <family val="2"/>
        <charset val="238"/>
        <scheme val="minor"/>
      </rPr>
      <t>.</t>
    </r>
  </si>
  <si>
    <t>rashoda po ekonomskoj klasifikaciji kako slijedi:</t>
  </si>
  <si>
    <t>Financijski plan Dječjeg vrtića Grigor Vitez za 2025. godinu (u daljnjem tekstu: Financijski plan) i projekcije za 2026. i 2027. godinu</t>
  </si>
  <si>
    <t xml:space="preserve">Prihodi i rashodi u Financijskom planu za 2025. i projekcijama za 2026. i 2027. godinu utvrđuju se u Računu prihoda i </t>
  </si>
  <si>
    <t xml:space="preserve">Prihodi i rashodi u Financijskom planu za 2025. i projekcije za 2026. i 2027. godinu utvrđuju se u Računu prihoda i rashoda </t>
  </si>
  <si>
    <t>po izvorima financiranja kako slijedi:</t>
  </si>
  <si>
    <t>Rashodi Financijskog plana za 2025. i projekcije za 2026. i 2027. godinu raspoređuju se po funkcijskoj klasfikaciji kako slijedi:</t>
  </si>
  <si>
    <t>Primici od financijske imovine i zaduživanja i izdaci za financijsku imovinu i otplatu zajmova u Financijskom planu za 2025.g. i projekcije za 2026. i 2027. godinu utvrđuju se u Računu financiranja kako slijedi:</t>
  </si>
  <si>
    <t>Rashodi i izdaci Financijskog plana za 2025. i projekcije za 2026. i 2027. godinu raspoređuju se po izvorima financiranja
 i ekonomskoj klasifikaciji u Posebnom dijelu Proračuna kako slijedi:</t>
  </si>
  <si>
    <t>Plan za 2025.</t>
  </si>
  <si>
    <t>Projekcija 
za 2027.</t>
  </si>
  <si>
    <t>Plan 2024.</t>
  </si>
  <si>
    <t>Izvršenje 2023.</t>
  </si>
  <si>
    <t>Izvršenje 
2023.</t>
  </si>
  <si>
    <t>Plan 
2024.</t>
  </si>
  <si>
    <t>Plan 
za 2025.</t>
  </si>
  <si>
    <t>Izvršenje
2023.</t>
  </si>
  <si>
    <t>Plan
2024.</t>
  </si>
  <si>
    <t>Plan
za 2025.</t>
  </si>
  <si>
    <t>Projekcija
za 2027.</t>
  </si>
  <si>
    <t>OPĆI PRIHODI I PRIMICI</t>
  </si>
  <si>
    <t>Izvor financiranja 3.1.</t>
  </si>
  <si>
    <t>VLASTITI PRIHODI PK</t>
  </si>
  <si>
    <t>Izvor financiranja 4.6.</t>
  </si>
  <si>
    <t>PRIHODI ZA POSEBNE NAMJENE
PK</t>
  </si>
  <si>
    <t>Izvor financiranja 4.7.</t>
  </si>
  <si>
    <t>PRIHODI ZA POSEBNE NAMJENE
PK - VIŠAK</t>
  </si>
  <si>
    <t>POMOĆI</t>
  </si>
  <si>
    <t>Izvor financiranja 5.1.</t>
  </si>
  <si>
    <t>Izvor financiranja 5.4.</t>
  </si>
  <si>
    <t>POMOĆI PK</t>
  </si>
  <si>
    <t>POMOĆI PK - VIŠAK</t>
  </si>
  <si>
    <t>Izvor financiranja 5.5.</t>
  </si>
  <si>
    <t>DONACIJE PK</t>
  </si>
  <si>
    <t>Izvor financiranja 7.3.</t>
  </si>
  <si>
    <t>PRIH. OD PROD. ILI ZAMJ. NEF.
IMOVINE I NAKN. S NASL. OS - PK</t>
  </si>
  <si>
    <t>PRIHODI ZA POSEBNE NAMJENE PK</t>
  </si>
  <si>
    <t>Struktura planiranih ukupnih prihoda za 2025. godinu:</t>
  </si>
  <si>
    <t>0,27 % iz prihoda od donacija</t>
  </si>
  <si>
    <t>PRIHODI ZA POSEBNE NAMJENE PK - VIŠAK</t>
  </si>
  <si>
    <t>PRIH. OD PROD. ILI ZAMJ. NEF. IMOVINE I NAKN. S NASL. OS. - PK</t>
  </si>
  <si>
    <t>Redovna djelatnost DV Grigor Vitez</t>
  </si>
  <si>
    <t>Programi javnih potreba - predškola i TUR - DV Grigor Vitez</t>
  </si>
  <si>
    <t xml:space="preserve">Univerzalni sportski program
- DV Grigor Vitez </t>
  </si>
  <si>
    <t>Aktivnost A409014</t>
  </si>
  <si>
    <t>Prihodi za posebne namjene - PK</t>
  </si>
  <si>
    <t>4.6.</t>
  </si>
  <si>
    <t>5.4.</t>
  </si>
  <si>
    <t>Pomoći PK</t>
  </si>
  <si>
    <t>1.1.</t>
  </si>
  <si>
    <t>Opći prihodi i primici</t>
  </si>
  <si>
    <t>5.1.</t>
  </si>
  <si>
    <t>Pomoći</t>
  </si>
  <si>
    <t>OBRAZLOŽENJE OPĆEG DIJELA FINANCIJSKOG PLANA ZA RAZDOBLJE 2025.-2027.GODINE</t>
  </si>
  <si>
    <t>Za 2026. godinu planiran je ukupni prihod u iznosu 5.462.084 €, a za 2027. godinu u iznosu 5.505.584 €.</t>
  </si>
  <si>
    <t>Kod planiranih sredstva za 2025. te 2026. i 2027. godinu u odnosu na 2024. godinu  najveće odstupanje je iz izvora Općih prihoda i primitaka zbog povećanja plaće zbog novih koeficijenata i osnovice od 1.10.2024.</t>
  </si>
  <si>
    <t>Sve navedeno dovodi do potrebe za većim prihodima potrebnim za isplatu plaća, doprinosa, ostalih rashoda za zaposlene (31-rashodi za zaposlene).</t>
  </si>
  <si>
    <t>Očekuje se rast općih prihoda i primitaka u 2026. i 2027.godini.</t>
  </si>
  <si>
    <t xml:space="preserve">U 2025. godini planirano je ostvarenje ukupnih prihoda Dječjeg vrtića Grigor Vitez u iznosu 5.489.964 € što je 39,89% više od planiranih ukupnih prihoda za 2024. godinu. </t>
  </si>
  <si>
    <t>84,18 % iz Općih prihoda i primitaka iz sredstava Grada Samobora,</t>
  </si>
  <si>
    <t>11,24 % iz prihoda za posebne namjene,</t>
  </si>
  <si>
    <t>3,51 % iz prihoda pomoći (sredstva za fiskalnu održivost)</t>
  </si>
  <si>
    <t>0,57 % iz prihoda od pomoći</t>
  </si>
  <si>
    <t>0,28 % iz vlastitih prihoda</t>
  </si>
  <si>
    <r>
      <t>Iz izvora 1.1. Opći prihodi i primici</t>
    </r>
    <r>
      <rPr>
        <sz val="11"/>
        <color theme="1"/>
        <rFont val="Calibri"/>
        <family val="2"/>
        <charset val="238"/>
        <scheme val="minor"/>
      </rPr>
      <t xml:space="preserve"> u 2025. godini planiraju se u iznosu 4.621.700 € što je 49,03% više od istih prihoda planiranih u 2024. godini.</t>
    </r>
  </si>
  <si>
    <r>
      <t>Iz izvora 4.6. Prihodi posebne namjene PK</t>
    </r>
    <r>
      <rPr>
        <sz val="11"/>
        <color theme="1"/>
        <rFont val="Calibri"/>
        <family val="2"/>
        <charset val="238"/>
        <scheme val="minor"/>
      </rPr>
      <t xml:space="preserve"> u 2025.godini planiraju se prihodi u iznosu 617.240 € što je 7,16% više u odnosu na planirana sredstva u 2024.godini.</t>
    </r>
  </si>
  <si>
    <t>Iznos je planiran na temelju upisane djece srazmjerno prihodu realiziranom u  2024.godini. Veći je u odnosu na 2024. jer je cijelu godinu planirana naknada 3 nove odgojne skupine u objektu u Molvicama dok je u 2024. godini planirana od 6.mj. do kraja godine (65-prihodi od upravnih i administrativnih pristojbi, pristojbi  po posebnim propisima i naknada).</t>
  </si>
  <si>
    <t>Očekuje se rast prihoda posebnih namjena u 2026. i 2027.godini.</t>
  </si>
  <si>
    <r>
      <t>Iz izvora 5.1. Pomoći</t>
    </r>
    <r>
      <rPr>
        <sz val="11"/>
        <color theme="1"/>
        <rFont val="Calibri"/>
        <family val="2"/>
        <charset val="238"/>
        <scheme val="minor"/>
      </rPr>
      <t xml:space="preserve"> u 2025. godini planiraju se prihodi u iznosu 192.500 € te 188.000 € u 2026 .godini i 196.000 €  2027. godini.</t>
    </r>
  </si>
  <si>
    <t xml:space="preserve">Njihov iznos određen je Uredbom o kriterijima i mjerilima za utvrđivanje iznosa sredstava za fiskalnu održivost dječjih vrtića koja je na snazi od 23.9.2023. </t>
  </si>
  <si>
    <r>
      <t>Iz izvora 5.4. DV Grigor Vitez – Prihodi od pomoći</t>
    </r>
    <r>
      <rPr>
        <sz val="11"/>
        <color theme="1"/>
        <rFont val="Calibri"/>
        <family val="2"/>
        <charset val="238"/>
        <scheme val="minor"/>
      </rPr>
      <t xml:space="preserve"> planiraju se prihodi u iznosu 31.227 € kroz sve tri godine.</t>
    </r>
  </si>
  <si>
    <t>Od navedenog iznosa 29.900 € odnosi se na sufinanciranje programa javnih potreba u predškolskom odgoju i obrazovanju od strane Ministarstva znanosti i obrazovanja (podskupina 636).</t>
  </si>
  <si>
    <t>Preostali dio od 1.327 € odnosi se na refundaciju plaćenih troškova prethodnih pregleda zaposlenika od strane HZZO-a (podskupina 634) te se očekuje otprilike isti broj pregleda koji se refundiraju u 2026. i 2027. godini.</t>
  </si>
  <si>
    <r>
      <t>Iz izvora 6.3. DV Grigor Vitez – Prihodi od donacija</t>
    </r>
    <r>
      <rPr>
        <sz val="11"/>
        <color theme="1"/>
        <rFont val="Calibri"/>
        <family val="2"/>
        <charset val="238"/>
        <scheme val="minor"/>
      </rPr>
      <t xml:space="preserve"> planiraju se u iznosu 16.000 € kroz sve tri godine.</t>
    </r>
  </si>
  <si>
    <t>Od tekućih donacija u iznosu 9.000 € očekuje se donacija raznog materijala potrebnog u radu u odgojnim skupinama od strane Lusha, Offertissime, Foto Ljubeka i tiskare Tangir te donacija Turističke zajednice Grad Samobora za sudjelovanje na dječjem fašniku.</t>
  </si>
  <si>
    <t>Isto se očekuje i u 2026. i 2027. godini.</t>
  </si>
  <si>
    <r>
      <t xml:space="preserve">Iz izvora 3.1. Vlastiti prihodi PK - </t>
    </r>
    <r>
      <rPr>
        <sz val="11"/>
        <color theme="1"/>
        <rFont val="Calibri"/>
        <family val="2"/>
        <charset val="238"/>
        <scheme val="minor"/>
      </rPr>
      <t>planiraju se u iznosu 11.151 € kroz sve tri godine.</t>
    </r>
  </si>
  <si>
    <t>Odnosi se na planirani prihod od najma tri sportske dvorane.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</si>
  <si>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</rPr>
      <t>5.494.964</t>
    </r>
    <r>
      <rPr>
        <sz val="11"/>
        <color theme="1"/>
        <rFont val="Calibri"/>
        <family val="2"/>
        <charset val="238"/>
        <scheme val="minor"/>
      </rPr>
      <t xml:space="preserve"> € za 2025. godinu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</si>
  <si>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5.462.084 € za 2026. godinu 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</si>
  <si>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5.505.584 € za 2027. godinu.</t>
    </r>
  </si>
  <si>
    <t>Iz plana je vidljiv značajniji rast rashoda u 2025.godini u odnosu na 2024. za 39,36% najviše zbog promjena u isplati plaće i materijalnih prava.</t>
  </si>
  <si>
    <r>
      <t>Planirani rashodi iz izvora 1.1. Opći prihodi i primici</t>
    </r>
    <r>
      <rPr>
        <sz val="11"/>
        <color theme="1"/>
        <rFont val="Calibri"/>
        <family val="2"/>
        <charset val="238"/>
        <scheme val="minor"/>
      </rPr>
      <t xml:space="preserve"> za 2025. iznose 4.621.700 € što je 49,23% više u odnosu na 2024. godinu.</t>
    </r>
  </si>
  <si>
    <t>Razlozi za povećanje prihoda su veći rashodi iz ovog izvora zbog promjene u obračunu plaće koje su nastupile 1.10.2024. 
Od navedenog datuma osnovica se na temelju Odluke o izvršavanju Proračuna Grada Samobora promjenila sa 550 € na 660 €, Izmjenama i dopunama Pravilika o radu povećani su koeficijenti po svim radnim mjestima, povećanje minulog rada za 0,5%.
Zbog promjena u knjiženju plaće na temelju novog Pravilnika o proračunskom računovodstvu i Računskg plana u 2025.godini potrebno je na rashod knjižiti ukupno 13 plaća pa su i iz tog razloga potrebni veći prihodi iz ovog izvora.</t>
  </si>
  <si>
    <r>
      <t>Planirani rashodi iz izvora 4.6. Prihodi za posebne namjene</t>
    </r>
    <r>
      <rPr>
        <sz val="11"/>
        <color theme="1"/>
        <rFont val="Calibri"/>
        <family val="2"/>
        <charset val="238"/>
        <scheme val="minor"/>
      </rPr>
      <t xml:space="preserve"> za 2025. godinu iznose 617.240 € što je 2,01% više od istih rashoda planiranih u 2024. godini.</t>
    </r>
  </si>
  <si>
    <t>Razlog je rast svih materijalnih rashoda, a u skladu sa prihodima iz tog izvora koji su veći samo zbog nešto većeg broja djece na temelju novog objekta vrtića u Molvicama koji je otvoren u 5.mj. 2024.</t>
  </si>
  <si>
    <r>
      <t>Planirani rashodi iz izvora 5.1. Pomoći</t>
    </r>
    <r>
      <rPr>
        <sz val="11"/>
        <color theme="1"/>
        <rFont val="Calibri"/>
        <family val="2"/>
        <charset val="238"/>
        <scheme val="minor"/>
      </rPr>
      <t xml:space="preserve"> iznose 192.500 € za 2025. te 188.000 € za 2026. i 196.000 € za 2027. godinu, jednaki su prihodima iz tog izvora koji su određeni Uredbom o utvrđivanju iznosa sredstava za fiskalnu održivost dječjih vrtića.
Ovise o broju upisane djece na početku pedagoške godine.</t>
    </r>
  </si>
  <si>
    <t>36% rashoda iz ovog izvora čini rashod za usluge tekućeg i investicijskog održavanja zbog potrebe za sanacijom podnih obloga u sobama dječjeg boravka u Perkovčevoj, za sanacijom dijela krova u Perkovčevoj (iznad spremišta za igračke i iznad kuhinjskog spremišta) i ostalih troškova održavanja objekata kroz godinu.</t>
  </si>
  <si>
    <t>Osim navedenih iz skupine 32 iz ovog izvora planiraju se i rahodi za uredski materijal i ostali materijalni rashodi, materijal i sirovine, energiju, sitan inventar i didaktiku.
Do lipnja 2025. iz ovog izvora planiraju se intelektualne i osobne usluge za provedbu Mindfulness i Aloha programa koji je započeo u listopadu 2024.godine. 
Sve navedeno odnosi se na skupinu 32, a manji dio rashoda iz ovog izvora, ukupno 6.000 € odnosi se na nabavu sprava za igrališta te opreme za ostale namjene skupina 42.</t>
  </si>
  <si>
    <t>Razlozi za povećanje su promjene u obračunu plaće koje su nastupile 1.10.2024. Od navedenog datuma osnovica se na temelju Odluke o izvršavanju Proračuna Grada Samobora promjenila sa 550 € na 660 €, Izmjenama i dopunama Pravilika o radu povećani su koeficijenti po svim radnim mjestima, povećanje minulog rada za 0,5%.
Zbog promjena u knjiženju plaće na temelju novog Pravilnika o proračunskom računovodstvu i Računskg plana u 2025.godini potrebno je na rashod knjižiti ukupno 13 plaća pa su i iz tog razloga rashodi iz ovog izvora  veći u odnosu na 2024.godinu.
Sve navedeno odnosi se na skupinu rashoda 31.</t>
  </si>
  <si>
    <t>Manji dio rashoda iz ovog izvora (ukupno 86.700 €) odnosi se na materijalne rashode koji se sastoje od:</t>
  </si>
  <si>
    <t>* uredski materijal i ostali materijalni rashodi – potrebni za rad aparata za logopedsku pomoć djeci,</t>
  </si>
  <si>
    <t>* rashoda za energiju koji su neizvjesni nakon prestanka važenja Vladine uredbe o otklanjanju poremećaja na tržištu energije koje jednim dijelom planiramo iz ovog izvora zbog nedostatka sredstava iz izvora posebnih namjena,</t>
  </si>
  <si>
    <r>
      <rPr>
        <sz val="11"/>
        <color theme="1"/>
        <rFont val="Calibri"/>
        <family val="2"/>
        <charset val="238"/>
        <scheme val="minor"/>
      </rPr>
      <t>*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računalne usluge (Okitoki aplikacija - ovisi o broju djece),</t>
    </r>
  </si>
  <si>
    <t>* naknadu za nezapošljavanje invalida – veća je zbog većeg broja djelatnika</t>
  </si>
  <si>
    <r>
      <t>Skupina 31</t>
    </r>
    <r>
      <rPr>
        <sz val="11"/>
        <color theme="1"/>
        <rFont val="Calibri"/>
        <family val="2"/>
        <charset val="238"/>
        <scheme val="minor"/>
      </rPr>
      <t xml:space="preserve"> – rashodi za zaposlene – odnose se na rad odgojitelja u sportskoj grupi, isplaćuju se u iznosu od 15% na bruto plaću. Povećani su u odnosu na plan za 2024.godinu iz razloga što se povećala bruto plaća. </t>
    </r>
  </si>
  <si>
    <t>Veći rashodi unutar skupine 32 su rashodi za materijal i sirovine, naknada za prijevoz, rashodi za energiju, komunalne usluge, usluge tekućeg i investicijskog održavanja, uredski materijal i ostali materijalni rashodi, materijal i dijelovi za tekuće investicijsko održavanje, zdravstvene usluge, računalne usluge i sl.</t>
  </si>
  <si>
    <r>
      <t>Skupina 32</t>
    </r>
    <r>
      <rPr>
        <sz val="11"/>
        <color theme="1"/>
        <rFont val="Calibri"/>
        <family val="2"/>
        <charset val="238"/>
        <scheme val="minor"/>
      </rPr>
      <t xml:space="preserve"> – materijalni rashodi – unutar ove skupine nema značajnije promjene jer značajnije ne rastu ni prihodi iz ovog izvora.</t>
    </r>
  </si>
  <si>
    <r>
      <rPr>
        <b/>
        <sz val="11"/>
        <color theme="1"/>
        <rFont val="Calibri"/>
        <family val="2"/>
        <charset val="238"/>
        <scheme val="minor"/>
      </rPr>
      <t>Skupina 34</t>
    </r>
    <r>
      <rPr>
        <sz val="11"/>
        <color theme="1"/>
        <rFont val="Calibri"/>
        <family val="2"/>
        <charset val="238"/>
        <scheme val="minor"/>
      </rPr>
      <t xml:space="preserve"> - financijski rashodi - odnose se na bankarske usluge, usluge platnog prometa i zatezne kamate.</t>
    </r>
  </si>
  <si>
    <r>
      <rPr>
        <b/>
        <sz val="11"/>
        <color theme="1"/>
        <rFont val="Calibri"/>
        <family val="2"/>
        <charset val="238"/>
        <scheme val="minor"/>
      </rPr>
      <t>Skupina 42</t>
    </r>
    <r>
      <rPr>
        <sz val="11"/>
        <color theme="1"/>
        <rFont val="Calibri"/>
        <family val="2"/>
        <charset val="238"/>
        <scheme val="minor"/>
      </rPr>
      <t xml:space="preserve"> - čini 10% rashoda iz ovog izvora, a odnosi se na opremu za održavanje i hlađenje (u 2025.godini planira se obnova svih starih klima uređaja u objektu Perkovčeva), uredsku opremu i namještaj (ugradbeni ormar za vešeraj u Kovačićevoj, zamjena starog računala u upravi), nabava sprava za igrališta (zamjena dotrajale sprave u Kovačićevoj) te nabava uređaja, strojeva i opreme za ostale namjene (mašina za pranje rublja u Kovačićevoj i ostali uređaji prema potrebama).</t>
    </r>
  </si>
  <si>
    <r>
      <t xml:space="preserve">Planirani rashodi iz izvora 5.4. Pomoći PK - </t>
    </r>
    <r>
      <rPr>
        <sz val="11"/>
        <color theme="1"/>
        <rFont val="Calibri"/>
        <family val="2"/>
        <charset val="238"/>
        <scheme val="minor"/>
      </rPr>
      <t>iznose 31.227 € kroz sve tri godine.</t>
    </r>
  </si>
  <si>
    <t>Iz navedenog izvora planiraju se materijni rashodi skupina 32u iznosu 15.727 €. To su rashod za uredski materijal i ostale materijalne rashode, sitni inventar i didaktika, stručno usavršavanje zaposlenika te zdravstvene usluge.
Od rashoda za nabavu proizvedene dugotrajne imovine u iznosu 15.500 € planira se rashod za nabavu sprava za igrališta.</t>
  </si>
  <si>
    <r>
      <t xml:space="preserve">Planirani rashodi iz izvora 6.3. Donacije PK - </t>
    </r>
    <r>
      <rPr>
        <sz val="11"/>
        <color theme="1"/>
        <rFont val="Calibri"/>
        <family val="2"/>
        <charset val="238"/>
        <scheme val="minor"/>
      </rPr>
      <t>iznose 16.000 € kroz sve tri godine.</t>
    </r>
  </si>
  <si>
    <t>U 2025.godini očekuje se donacija u iznosu 9.000 € u obliku uredskog materijala i ostalih materijalnih rashoda potrebnih za rad u odgojnim skupinama, sitnog inventara i didaktike, ostalih usluga i ostalih nespomenutih rashoda poslovanja (skupina 32).</t>
  </si>
  <si>
    <t>U iznosu 7.000 € očekuje se donacija računala za zamjenu dotrajalih.</t>
  </si>
  <si>
    <t>Ovise o prihodima iz istog izvora, planiraju se rashodi za uredski materijal, energiju, usluge tekućeg i investicijskog održavanja, sitnog inventara i didaktike (sve iz skupine 32).</t>
  </si>
  <si>
    <r>
      <t>Planirani rashodi iz izvora 3.1. Vlastiti prihodi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PK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iznose 11.151 € kroz sve tri godine.</t>
    </r>
  </si>
  <si>
    <r>
      <t xml:space="preserve">Planirani rashodi iz izvora 7.3. Prih. od prod. ili zamj. nef. imovine s nasl. os - PK - </t>
    </r>
    <r>
      <rPr>
        <sz val="11"/>
        <color theme="1"/>
        <rFont val="Calibri"/>
        <family val="2"/>
        <charset val="238"/>
        <scheme val="minor"/>
      </rPr>
      <t>iznose 146 € kroz sve tri godine i odnose se na rashode za usluge tekućeg i investicijskog održavanja.</t>
    </r>
  </si>
  <si>
    <t>U 2025. godini planira se preneseni višak  iz 2024. godine u iznosu 5.000 € koji se planira utrošiti kako slijedi:</t>
  </si>
  <si>
    <t>4.000 € na materijal i sirovine - Izvor 4.7. Prihodi za posebne namjene PK - višak i</t>
  </si>
  <si>
    <t>1.000 € na sitni inventar i didaktiku - Izvor 5.5. Pomoći PK - višak.</t>
  </si>
  <si>
    <t>2027.</t>
  </si>
  <si>
    <t>Iznosi za plaće, doprinose i ostala materijalna prava planirani su na bazi 154 djelatnika.</t>
  </si>
  <si>
    <t>Polazna vrijednost 2024.</t>
  </si>
  <si>
    <t>Financijski plan za 2025.g. i projekcije za 2026. i 2027.godinu objavit će se na službenoj Internet stranici Dječjeg vrtića Grigor Vitez, a stupa na snagu 1.1.2025. godine.</t>
  </si>
  <si>
    <t xml:space="preserve">Program: DRUŠTVENA BRIGA O DJECI PREDŠKOLSKE DOBI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</si>
  <si>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ustanovama (NN </t>
    </r>
    <r>
      <rPr>
        <sz val="10"/>
        <rFont val="Times New Roman"/>
        <family val="1"/>
        <charset val="238"/>
      </rPr>
      <t>76/93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29/97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47/99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35/08</t>
    </r>
    <r>
      <rPr>
        <sz val="10"/>
        <color theme="1"/>
        <rFont val="Times New Roman"/>
        <family val="1"/>
        <charset val="238"/>
      </rPr>
      <t>, 127/19 i 151/22)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</si>
  <si>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Zakon o predškolskom odgoju i obrazovanju (NN 10/97, 107/07, 94/13, 98/19, 57/22 i 101/23)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</si>
  <si>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Uputa za izradu proračuna Grada Samobora za razdoblje 2025.-2027.godine.</t>
    </r>
  </si>
  <si>
    <t xml:space="preserve">Naziv aktivnosti/projekta u Proračunu: REDOVNA DJELATNOST DV GRIGOR VITEZ </t>
  </si>
  <si>
    <t>Troškove redovne djelatnosti DV Grigor Vitez snose osnivač ustanove – Grad Samobor, roditelji djece koja polaze vrtić, a djelomično se pokrivaju i sredstvima pomoći iz Državnog proračuna za fiskalnu održivost dječjih vrtića.</t>
  </si>
  <si>
    <t>Unutar ove aktivnosti, iz izvora opći prihodi i primici, financiraju se rashodi za zaposlene (bruto plaće, plaće za prekovremeni rad, doprinosi na plaće, ostali rashodi za zaposlene: regres, božićnice i dr.) te dio rashoda za uredski materijal i ostale materijalne rashode, energente i računalne usluge. Financira se i naknada zbog nezapošljavanja osoba s invaliditetom.</t>
  </si>
  <si>
    <t>Osnovica za obračun plaće utvrđuje se Odlukom o izvršavanju Proračuna Grada Samobora, a za 2025. godinu planirana je osnovica od  660 € uz uvećanje mase plaće za 10%. Također, planirana su sredstva za trinaest mjesečnih rashoda za zaposlene, a temeljem novog Pravilnika o proračunskom računovodstvu i Računskom planu kojim se ukida račun 193 Kontinuirani rashodi budućih razdoblja. Koeficijenti složenosti poslova te ostala materijalna prava propisuju se Pravilnikom o radu.</t>
  </si>
  <si>
    <t>Svi ostali troškovi vrtića (prehrana djece, materijalni izdaci, energija i komunalije, tekuće održavanje objekata i opreme, nabava namještaja i opreme, nabava sitnog inventara) financiraju se roditeljskim uplatama, vlastitim prihodima vrtića te sredstvima pomoći iz Državnog proračuna za fiskalnu održivost dječjih vrtića. Ishodište za procjenu navedenih troškova u razdoblju 2025. - 2027. godine je upisani broj djece u pedagoškoj godini 2024./2025.</t>
  </si>
  <si>
    <t>Naziv aktivnosti/projekta u Proračunu: PROGRAMI JAVNIH POTREBA - PREDŠKOLA I TUR - DV GRIGOR VITEZ</t>
  </si>
  <si>
    <t>Program predškole obvezan je program odgojno-obrazovnoga rada s djecom u godini dana prije polaska u osnovnu školu te se provodi u trajanju od 250 sati.</t>
  </si>
  <si>
    <t>Iz navedenih sredstava unutar ove aktivnosti vrši se nabava opreme, didaktike i materijala za odgojne skupine te se financira stručno usavršavanje odgojitelja, a sve prema uputama Ministarstva znanosti, obrazovanja i mladih.</t>
  </si>
  <si>
    <t>Ishodište za procjenu planiranih rashoda u razdoblju od 2025. – 2027. godine temelji se na broju djece u programu predškole i djece s teškoćama koja su integrirana u redovite programe te iznosima sufinanciranja od strane Ministarstva znanosti, obrazovanja i mladih, i to:</t>
  </si>
  <si>
    <r>
      <t>-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3,60 € po djetetu u programu predškole</t>
    </r>
  </si>
  <si>
    <r>
      <t>-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od 53,00 € do 106,00 € po djetetu s teškoćama u razvoju.</t>
    </r>
  </si>
  <si>
    <t>Ministarstvo znanosti, obrazovanja i mladih upućuje dječje vrtiće da doznačena sredstva koriste za nabavu didaktičkih sredstava, stručno usavršavanje, nabavu stručne literature te materijala i opreme za odgojne skupine.</t>
  </si>
  <si>
    <t>Naziv aktivnosti/projekta u Proračunu: UNIVERZALNI SPORTSKI PROGRAM - DV GRIGOR VITEZ</t>
  </si>
  <si>
    <t>Univerzalni sportski program verificiran je od strane nadležnog Ministarstva i financira se iz izvora posebne namjene. Program se provodi svakodnevno u sklopu redovnog 10-satnog odgojno-obrazovnog programa. Uključuje djecu od 4. godine života do polaska u školu. Uz odgojitelje, nositelj programa je i kineziolog. Program je s radom započeo 01.09.2022., a u tekućoj pedagoškoj godini upisano je 20 djece.</t>
  </si>
  <si>
    <t>Planirani rashodi odnose se na dodatak na plaće odgojitelja te na naknadu za usluge kineziologa.</t>
  </si>
  <si>
    <t>Naziv aktivnosti/projekta u Proračunu: NABAVA NEFINANCIJSKE IMOVINE - DV GRIGOR VITEZ</t>
  </si>
  <si>
    <t>Rashodi su predviđeni za nabavu dugotrajne imovine za DV Grigor Vitez iz   roditeljskih uplata, pomoći te donacija.</t>
  </si>
  <si>
    <t>Nabava nefinancijske imovine vrši se sukcesivno tijekom godine, sukladno Planu nabave (uredska oprema i namještaj, komunikacijska oprema, klima uređaji, sprave za igrališta, uređaji, strojevi i oprema za ostale namjene).</t>
  </si>
  <si>
    <t>Planirana financijska sredstva temelje se na iskazanim potrebama DV Grigor Vitez za nabavu dugotrajne nefinancijske imovine te informativnim ponudama za nabavu iste.</t>
  </si>
  <si>
    <t>Broj djece obuhvaćene programom predškolskog odgoja i obrazovanja u gradskim dječjim vrtićima</t>
  </si>
  <si>
    <t>Ukupni broj školskih obveznika uključenih u 10-satni program.</t>
  </si>
  <si>
    <t xml:space="preserve">Omogućiti svoj djeci u godini dana prije polaska u osnovnu školu pohađanje programa predškole. 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</si>
  <si>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</si>
  <si>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</si>
  <si>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Ciljana 
vrijednost 
2025.</t>
  </si>
  <si>
    <t>Ciljana 
vrijednost 
2026.</t>
  </si>
  <si>
    <t>Ciljana 
vrijednost 
2027.</t>
  </si>
  <si>
    <t>B1. RAČUN FINANCIRANJA PREMA EKONOMSKOJ KLASIFIKACIJI</t>
  </si>
  <si>
    <t>B2. RAČUN FINANCIRANJA PREMA IZVORIMA FINANCIRANJA</t>
  </si>
  <si>
    <t>Izvor</t>
  </si>
  <si>
    <t>Namjenski primici od zaduživanja</t>
  </si>
  <si>
    <t>8.3.</t>
  </si>
  <si>
    <t>Namjenski primici od zaduživanja PK</t>
  </si>
  <si>
    <t>UKUPNO PRIMICI</t>
  </si>
  <si>
    <t>UKUPNO IZDACI</t>
  </si>
  <si>
    <t>3.1.</t>
  </si>
  <si>
    <t>Vlastiti prihodi PK</t>
  </si>
  <si>
    <t>Prihodi za posebne namjene PK</t>
  </si>
  <si>
    <t>6.3.</t>
  </si>
  <si>
    <t>Donacije PK</t>
  </si>
  <si>
    <t>7.3.</t>
  </si>
  <si>
    <t>Prih. od prod. Ili zamj.nef.imovine i nakn.s nasl.os - PK</t>
  </si>
  <si>
    <t>Proračunski korisnik
26338</t>
  </si>
  <si>
    <t>DJEČJI VRTIĆ GRIGOR VITEZ</t>
  </si>
  <si>
    <t>VIŠAK/MANJAK+NETO FINANCIRANJE</t>
  </si>
  <si>
    <t>C) PRENESENI VIŠAK ILI PRENESENI MANJAK</t>
  </si>
  <si>
    <t>PRIJENOS VIŠKA/MANJKA IZ PRETHODNE GODINE</t>
  </si>
  <si>
    <t>PRIJENOS VIŠKA/MANJKA U SLJEDEĆE RAZDOBLJE</t>
  </si>
  <si>
    <t>VIŠAK / MANJAK + NETO FINANCIRANJE + PRIJENOS VIŠKA/MANJKA - PRIJENOS VIŠKA/MANJKA U SLJEDEĆE RAZDOBLJE</t>
  </si>
  <si>
    <t>D) VIŠEGODIŠNJI PLAN URAVNOTEŽENJA</t>
  </si>
  <si>
    <t>VIŠAK/MANJAK IZ PRETHODNE(IH) GODINE KOJI ĆE SE RASPOREDITI/POKRITI</t>
  </si>
  <si>
    <t>VIŠAK/MANJAK TEKUĆE GODINE
(VIŠAK/MANJAK + NETO FINANCIRANJE)</t>
  </si>
  <si>
    <t>UKUPNO FINANCIJSKI PLAN (A+B+C+D)</t>
  </si>
  <si>
    <t>A1. PRIHODI I RASHODI PREMA EKONOMSKOJ KLASIFIKACIJI</t>
  </si>
  <si>
    <t>A2. PRIHODI I RASHODI PREMA IZVORIMA FINANCIRANJA</t>
  </si>
  <si>
    <t>A3. RASHODI PREMA FUNKCIJSKOJ KLASIFIKACIJI</t>
  </si>
  <si>
    <t>B. RAČUN FINANCIRANJA</t>
  </si>
  <si>
    <t>Razdjel 004</t>
  </si>
  <si>
    <t>UPRAVNI ODJEL ZA DRUŠTVENE DJELATNOSTI</t>
  </si>
  <si>
    <t xml:space="preserve">Preneseni višak prihoda nad rashodima u Financijskom planu za 2025.g. i projekciji za </t>
  </si>
  <si>
    <t>2026. i 2027. godinu utvrđuje se kako slijedi:</t>
  </si>
  <si>
    <r>
      <rPr>
        <b/>
        <sz val="9"/>
        <rFont val="Arial"/>
        <family val="2"/>
        <charset val="238"/>
      </rPr>
      <t>RAZLIKA</t>
    </r>
    <r>
      <rPr>
        <b/>
        <sz val="9"/>
        <color indexed="8"/>
        <rFont val="Arial"/>
        <family val="2"/>
        <charset val="238"/>
      </rPr>
      <t xml:space="preserve"> VIŠAK / MANJAK IZ PRETHODNE(IH) GODINE KOJI ĆE SE RASPOREDITI / POKRITI</t>
    </r>
  </si>
  <si>
    <t>br.4/19) Upravno vijeće Dječjeg vrtića Grigor Vitez na svojoj 65. sjednici održanoj 23.12.2024. godine donijelo je:</t>
  </si>
  <si>
    <t>FINANCIJSKI PLAN DJEČJEG VRTIĆA GRIGOR VITEZ ZA 2025. 
I PROJEKCIJE ZA 2026. I 2027. GODINU</t>
  </si>
  <si>
    <t>Članak 10.</t>
  </si>
  <si>
    <t>KLASA: 400-02/24-01/03</t>
  </si>
  <si>
    <t>URBROJ: 238-27-71/02-24-1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</si>
</sst>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Geneva"/>
      <charset val="238"/>
    </font>
    <font>
      <b/>
      <sz val="16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8" fillId="0" borderId="0" applyNumberFormat="0" applyBorder="0" applyProtection="0"/>
  </cellStyleXfs>
  <cellXfs count="29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0" fillId="2" borderId="0" xfId="0" applyFill="1"/>
    <xf numFmtId="0" fontId="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1" fillId="0" borderId="0" xfId="0" applyNumberFormat="1" applyFont="1"/>
    <xf numFmtId="3" fontId="16" fillId="0" borderId="0" xfId="0" applyNumberFormat="1" applyFont="1"/>
    <xf numFmtId="0" fontId="6" fillId="7" borderId="0" xfId="0" applyFont="1" applyFill="1" applyAlignment="1">
      <alignment horizontal="left" vertical="center" wrapText="1"/>
    </xf>
    <xf numFmtId="3" fontId="6" fillId="7" borderId="0" xfId="0" quotePrefix="1" applyNumberFormat="1" applyFont="1" applyFill="1" applyAlignment="1">
      <alignment horizontal="right"/>
    </xf>
    <xf numFmtId="0" fontId="0" fillId="7" borderId="0" xfId="0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8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0" fontId="9" fillId="2" borderId="11" xfId="0" applyFont="1" applyFill="1" applyBorder="1" applyAlignment="1">
      <alignment horizontal="left" vertical="center" wrapText="1"/>
    </xf>
    <xf numFmtId="0" fontId="9" fillId="2" borderId="1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12" xfId="0" quotePrefix="1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4" borderId="11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20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center" wrapText="1"/>
    </xf>
    <xf numFmtId="0" fontId="12" fillId="0" borderId="0" xfId="0" applyFont="1"/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/>
    </xf>
    <xf numFmtId="0" fontId="11" fillId="0" borderId="0" xfId="0" applyFont="1"/>
    <xf numFmtId="0" fontId="7" fillId="2" borderId="0" xfId="0" quotePrefix="1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3" fontId="5" fillId="2" borderId="0" xfId="0" applyNumberFormat="1" applyFont="1" applyFill="1" applyAlignment="1">
      <alignment horizontal="right"/>
    </xf>
    <xf numFmtId="0" fontId="5" fillId="0" borderId="0" xfId="0" quotePrefix="1" applyFont="1" applyAlignment="1">
      <alignment horizontal="center" vertical="center" wrapText="1"/>
    </xf>
    <xf numFmtId="3" fontId="5" fillId="4" borderId="1" xfId="0" quotePrefix="1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 wrapText="1"/>
    </xf>
    <xf numFmtId="3" fontId="5" fillId="7" borderId="1" xfId="0" quotePrefix="1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 wrapText="1"/>
    </xf>
    <xf numFmtId="3" fontId="5" fillId="3" borderId="1" xfId="0" quotePrefix="1" applyNumberFormat="1" applyFont="1" applyFill="1" applyBorder="1" applyAlignment="1">
      <alignment horizontal="right"/>
    </xf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justify" vertical="center"/>
    </xf>
    <xf numFmtId="4" fontId="9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4" fontId="10" fillId="2" borderId="4" xfId="0" applyNumberFormat="1" applyFont="1" applyFill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7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/>
    </xf>
    <xf numFmtId="0" fontId="5" fillId="7" borderId="1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vertical="center"/>
    </xf>
    <xf numFmtId="0" fontId="30" fillId="0" borderId="17" xfId="0" applyFont="1" applyBorder="1" applyAlignment="1">
      <alignment horizontal="justify" vertical="center"/>
    </xf>
    <xf numFmtId="0" fontId="30" fillId="0" borderId="22" xfId="0" applyFont="1" applyBorder="1" applyAlignment="1">
      <alignment horizontal="justify" vertical="center" wrapText="1"/>
    </xf>
    <xf numFmtId="0" fontId="30" fillId="0" borderId="22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vertical="center" wrapText="1"/>
    </xf>
    <xf numFmtId="3" fontId="6" fillId="2" borderId="8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right"/>
    </xf>
    <xf numFmtId="0" fontId="39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0" fillId="2" borderId="3" xfId="0" quotePrefix="1" applyFont="1" applyFill="1" applyBorder="1" applyAlignment="1">
      <alignment horizontal="center" vertical="center" wrapText="1"/>
    </xf>
    <xf numFmtId="0" fontId="40" fillId="2" borderId="3" xfId="0" quotePrefix="1" applyFont="1" applyFill="1" applyBorder="1" applyAlignment="1">
      <alignment horizontal="left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justify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3" fillId="0" borderId="0" xfId="0" applyFont="1"/>
    <xf numFmtId="4" fontId="42" fillId="4" borderId="3" xfId="0" applyNumberFormat="1" applyFont="1" applyFill="1" applyBorder="1" applyAlignment="1">
      <alignment horizontal="right"/>
    </xf>
    <xf numFmtId="3" fontId="42" fillId="4" borderId="3" xfId="0" applyNumberFormat="1" applyFont="1" applyFill="1" applyBorder="1" applyAlignment="1">
      <alignment horizontal="right"/>
    </xf>
    <xf numFmtId="0" fontId="44" fillId="2" borderId="1" xfId="0" applyFont="1" applyFill="1" applyBorder="1" applyAlignment="1">
      <alignment horizontal="left"/>
    </xf>
    <xf numFmtId="4" fontId="45" fillId="2" borderId="3" xfId="0" applyNumberFormat="1" applyFont="1" applyFill="1" applyBorder="1" applyAlignment="1">
      <alignment horizontal="right"/>
    </xf>
    <xf numFmtId="3" fontId="45" fillId="2" borderId="3" xfId="0" applyNumberFormat="1" applyFont="1" applyFill="1" applyBorder="1" applyAlignment="1">
      <alignment horizontal="right"/>
    </xf>
    <xf numFmtId="0" fontId="43" fillId="2" borderId="0" xfId="0" applyFont="1" applyFill="1"/>
    <xf numFmtId="4" fontId="46" fillId="2" borderId="3" xfId="0" applyNumberFormat="1" applyFont="1" applyFill="1" applyBorder="1" applyAlignment="1">
      <alignment horizontal="right"/>
    </xf>
    <xf numFmtId="3" fontId="45" fillId="2" borderId="3" xfId="0" quotePrefix="1" applyNumberFormat="1" applyFont="1" applyFill="1" applyBorder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0" fontId="7" fillId="3" borderId="4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42" fillId="0" borderId="7" xfId="0" quotePrefix="1" applyFont="1" applyBorder="1" applyAlignment="1">
      <alignment horizontal="center" vertical="center" wrapText="1"/>
    </xf>
    <xf numFmtId="0" fontId="42" fillId="0" borderId="8" xfId="0" quotePrefix="1" applyFont="1" applyBorder="1" applyAlignment="1">
      <alignment horizontal="center" vertical="center" wrapText="1"/>
    </xf>
    <xf numFmtId="0" fontId="42" fillId="0" borderId="9" xfId="0" quotePrefix="1" applyFont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left" vertical="center" wrapText="1"/>
    </xf>
    <xf numFmtId="0" fontId="42" fillId="4" borderId="5" xfId="0" applyFont="1" applyFill="1" applyBorder="1" applyAlignment="1">
      <alignment horizontal="left" vertical="center" wrapText="1"/>
    </xf>
    <xf numFmtId="0" fontId="42" fillId="4" borderId="10" xfId="0" applyFont="1" applyFill="1" applyBorder="1" applyAlignment="1">
      <alignment horizontal="left" vertical="center" wrapText="1"/>
    </xf>
    <xf numFmtId="0" fontId="44" fillId="2" borderId="2" xfId="0" applyFont="1" applyFill="1" applyBorder="1" applyAlignment="1">
      <alignment horizontal="left"/>
    </xf>
    <xf numFmtId="0" fontId="44" fillId="2" borderId="4" xfId="0" applyFont="1" applyFill="1" applyBorder="1" applyAlignment="1">
      <alignment horizontal="left"/>
    </xf>
    <xf numFmtId="0" fontId="42" fillId="4" borderId="1" xfId="0" applyFont="1" applyFill="1" applyBorder="1" applyAlignment="1">
      <alignment horizontal="left" vertical="center" wrapText="1"/>
    </xf>
    <xf numFmtId="0" fontId="42" fillId="4" borderId="2" xfId="0" applyFont="1" applyFill="1" applyBorder="1" applyAlignment="1">
      <alignment horizontal="left" vertical="center" wrapText="1"/>
    </xf>
    <xf numFmtId="0" fontId="42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5" fillId="8" borderId="1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9" borderId="14" xfId="0" applyFont="1" applyFill="1" applyBorder="1" applyAlignment="1">
      <alignment vertical="center"/>
    </xf>
    <xf numFmtId="0" fontId="27" fillId="9" borderId="15" xfId="0" applyFont="1" applyFill="1" applyBorder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38" fillId="0" borderId="18" xfId="0" applyFont="1" applyBorder="1" applyAlignment="1">
      <alignment horizontal="left" vertical="center" indent="5"/>
    </xf>
    <xf numFmtId="0" fontId="38" fillId="0" borderId="0" xfId="0" applyFont="1" applyAlignment="1">
      <alignment horizontal="left" vertical="center" indent="5"/>
    </xf>
    <xf numFmtId="0" fontId="38" fillId="0" borderId="19" xfId="0" applyFont="1" applyBorder="1" applyAlignment="1">
      <alignment horizontal="left" vertical="center" indent="5"/>
    </xf>
    <xf numFmtId="0" fontId="30" fillId="0" borderId="24" xfId="0" applyFont="1" applyBorder="1" applyAlignment="1">
      <alignment horizontal="justify" vertical="center"/>
    </xf>
    <xf numFmtId="0" fontId="30" fillId="0" borderId="25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/>
    </xf>
    <xf numFmtId="0" fontId="38" fillId="0" borderId="20" xfId="0" applyFont="1" applyBorder="1" applyAlignment="1">
      <alignment horizontal="left" vertical="center" indent="5"/>
    </xf>
    <xf numFmtId="0" fontId="38" fillId="0" borderId="21" xfId="0" applyFont="1" applyBorder="1" applyAlignment="1">
      <alignment horizontal="left" vertical="center" indent="5"/>
    </xf>
    <xf numFmtId="0" fontId="38" fillId="0" borderId="22" xfId="0" applyFont="1" applyBorder="1" applyAlignment="1">
      <alignment horizontal="left" vertical="center" indent="5"/>
    </xf>
    <xf numFmtId="0" fontId="28" fillId="0" borderId="18" xfId="0" applyFont="1" applyBorder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8" fillId="0" borderId="19" xfId="0" applyFont="1" applyBorder="1" applyAlignment="1">
      <alignment horizontal="justify" vertical="center"/>
    </xf>
    <xf numFmtId="0" fontId="30" fillId="0" borderId="18" xfId="0" applyFont="1" applyBorder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0" fillId="0" borderId="19" xfId="0" applyFont="1" applyBorder="1" applyAlignment="1">
      <alignment horizontal="justify" vertical="center"/>
    </xf>
    <xf numFmtId="0" fontId="28" fillId="0" borderId="20" xfId="0" applyFont="1" applyBorder="1" applyAlignment="1">
      <alignment horizontal="justify" vertical="center"/>
    </xf>
    <xf numFmtId="0" fontId="28" fillId="0" borderId="21" xfId="0" applyFont="1" applyBorder="1" applyAlignment="1">
      <alignment horizontal="justify" vertical="center"/>
    </xf>
    <xf numFmtId="0" fontId="28" fillId="0" borderId="22" xfId="0" applyFont="1" applyBorder="1" applyAlignment="1">
      <alignment horizontal="justify" vertical="center"/>
    </xf>
    <xf numFmtId="0" fontId="32" fillId="10" borderId="14" xfId="0" applyFont="1" applyFill="1" applyBorder="1" applyAlignment="1">
      <alignment vertical="center" wrapText="1"/>
    </xf>
    <xf numFmtId="0" fontId="32" fillId="10" borderId="15" xfId="0" applyFont="1" applyFill="1" applyBorder="1" applyAlignment="1">
      <alignment vertical="center" wrapText="1"/>
    </xf>
    <xf numFmtId="0" fontId="32" fillId="10" borderId="16" xfId="0" applyFont="1" applyFill="1" applyBorder="1" applyAlignment="1">
      <alignment vertical="center" wrapText="1"/>
    </xf>
    <xf numFmtId="3" fontId="30" fillId="0" borderId="27" xfId="0" applyNumberFormat="1" applyFont="1" applyBorder="1" applyAlignment="1">
      <alignment horizontal="right" vertical="center"/>
    </xf>
    <xf numFmtId="3" fontId="30" fillId="0" borderId="23" xfId="0" applyNumberFormat="1" applyFont="1" applyBorder="1" applyAlignment="1">
      <alignment horizontal="right" vertical="center"/>
    </xf>
    <xf numFmtId="3" fontId="30" fillId="0" borderId="17" xfId="0" applyNumberFormat="1" applyFont="1" applyBorder="1" applyAlignment="1">
      <alignment horizontal="right" vertical="center"/>
    </xf>
    <xf numFmtId="0" fontId="28" fillId="0" borderId="24" xfId="0" applyFont="1" applyBorder="1" applyAlignment="1">
      <alignment horizontal="justify" vertical="center"/>
    </xf>
    <xf numFmtId="0" fontId="28" fillId="0" borderId="25" xfId="0" applyFont="1" applyBorder="1" applyAlignment="1">
      <alignment horizontal="justify" vertical="center"/>
    </xf>
    <xf numFmtId="0" fontId="28" fillId="0" borderId="26" xfId="0" applyFont="1" applyBorder="1" applyAlignment="1">
      <alignment horizontal="justify" vertical="center"/>
    </xf>
    <xf numFmtId="0" fontId="3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8" fillId="0" borderId="18" xfId="0" applyFont="1" applyBorder="1" applyAlignment="1">
      <alignment horizontal="justify" vertical="center"/>
    </xf>
    <xf numFmtId="0" fontId="38" fillId="0" borderId="0" xfId="0" applyFont="1" applyAlignment="1">
      <alignment horizontal="justify" vertical="center"/>
    </xf>
    <xf numFmtId="0" fontId="38" fillId="0" borderId="19" xfId="0" applyFont="1" applyBorder="1" applyAlignment="1">
      <alignment horizontal="justify" vertical="center"/>
    </xf>
  </cellXfs>
  <cellStyles count="3">
    <cellStyle name="Normal" xfId="0" builtinId="0"/>
    <cellStyle name="Normal 2" xfId="1" xr:uid="{A3A0E03D-EE1F-449B-91B1-433CC8204EBC}"/>
    <cellStyle name="Obično_1Prihodi-rashodi2004 2" xfId="2" xr:uid="{6DDA09E7-A5E0-41F8-A25C-4B57712BCC64}"/>
  </cellStyles>
  <dxfs count="0"/>
  <tableStyles count="0" defaultTableStyle="TableStyleMedium2" defaultPivotStyle="PivotStyleLight16"/>
  <colors>
    <mruColors>
      <color rgb="FFFFFFCC"/>
      <color rgb="FFB6CAF6"/>
      <color rgb="FFCCECFF"/>
      <color rgb="FFFFFF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workbookViewId="0">
      <selection activeCell="A4" sqref="A4:K4"/>
    </sheetView>
  </sheetViews>
  <sheetFormatPr defaultRowHeight="15"/>
  <cols>
    <col min="1" max="1" width="4.42578125" customWidth="1"/>
    <col min="5" max="5" width="15.140625" customWidth="1"/>
    <col min="6" max="6" width="11.28515625" customWidth="1"/>
    <col min="7" max="11" width="17" customWidth="1"/>
  </cols>
  <sheetData>
    <row r="1" spans="1:11" ht="15.75">
      <c r="A1" s="191" t="s">
        <v>57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5.75">
      <c r="A2" s="191" t="s">
        <v>310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49.5" customHeight="1">
      <c r="A4" s="194" t="s">
        <v>311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2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5.75" customHeight="1">
      <c r="A6" s="195" t="s">
        <v>18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ht="15" customHeigh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1" s="23" customFormat="1" ht="15.75">
      <c r="A8" s="167" t="s">
        <v>55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1" s="23" customFormat="1" ht="18" customHeight="1">
      <c r="A9" s="193" t="s">
        <v>131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spans="1:11" s="23" customFormat="1" ht="18" customHeight="1">
      <c r="A10" s="193" t="s">
        <v>56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</row>
    <row r="11" spans="1:11" s="23" customFormat="1" ht="12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1.2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8" customHeight="1">
      <c r="A13" s="167" t="s">
        <v>53</v>
      </c>
      <c r="B13" s="167"/>
      <c r="C13" s="167"/>
      <c r="D13" s="167"/>
      <c r="E13" s="167"/>
      <c r="F13" s="167"/>
      <c r="G13" s="167"/>
      <c r="H13" s="167"/>
      <c r="I13" s="167"/>
      <c r="J13" s="167"/>
    </row>
    <row r="14" spans="1:11" ht="18">
      <c r="A14" s="1"/>
      <c r="B14" s="2"/>
      <c r="C14" s="2"/>
      <c r="D14" s="2"/>
      <c r="E14" s="5"/>
      <c r="F14" s="5"/>
      <c r="G14" s="6"/>
      <c r="H14" s="6"/>
      <c r="I14" s="6"/>
      <c r="J14" s="6"/>
    </row>
    <row r="15" spans="1:11" ht="31.5">
      <c r="A15" s="164" t="s">
        <v>47</v>
      </c>
      <c r="B15" s="165"/>
      <c r="C15" s="165"/>
      <c r="D15" s="165"/>
      <c r="E15" s="165"/>
      <c r="F15" s="166"/>
      <c r="G15" s="94" t="s">
        <v>145</v>
      </c>
      <c r="H15" s="94" t="s">
        <v>146</v>
      </c>
      <c r="I15" s="94" t="s">
        <v>147</v>
      </c>
      <c r="J15" s="94" t="s">
        <v>73</v>
      </c>
      <c r="K15" s="94" t="s">
        <v>148</v>
      </c>
    </row>
    <row r="16" spans="1:11" ht="15.75">
      <c r="A16" s="185" t="s">
        <v>0</v>
      </c>
      <c r="B16" s="170"/>
      <c r="C16" s="170"/>
      <c r="D16" s="170"/>
      <c r="E16" s="186"/>
      <c r="F16" s="96"/>
      <c r="G16" s="97">
        <f>+G17+G18</f>
        <v>2681145.44</v>
      </c>
      <c r="H16" s="97">
        <f t="shared" ref="H16:K16" si="0">+H17+H18</f>
        <v>3924386</v>
      </c>
      <c r="I16" s="97">
        <f t="shared" si="0"/>
        <v>5489964</v>
      </c>
      <c r="J16" s="97">
        <f t="shared" si="0"/>
        <v>5462084</v>
      </c>
      <c r="K16" s="97">
        <f t="shared" si="0"/>
        <v>5505584</v>
      </c>
    </row>
    <row r="17" spans="1:11" ht="15" customHeight="1">
      <c r="A17" s="98">
        <v>6</v>
      </c>
      <c r="B17" s="171" t="s">
        <v>7</v>
      </c>
      <c r="C17" s="171"/>
      <c r="D17" s="171"/>
      <c r="E17" s="171"/>
      <c r="F17" s="172"/>
      <c r="G17" s="125">
        <f>+' Račun prihoda i rashoda -ek.kl'!D12</f>
        <v>2681145.44</v>
      </c>
      <c r="H17" s="99">
        <f>+' Račun prihoda i rashoda -ek.kl'!E12</f>
        <v>3924386</v>
      </c>
      <c r="I17" s="99">
        <f>+' Račun prihoda i rashoda -ek.kl'!F12</f>
        <v>5489964</v>
      </c>
      <c r="J17" s="99">
        <f>+' Račun prihoda i rashoda -ek.kl'!G12</f>
        <v>5462084</v>
      </c>
      <c r="K17" s="99">
        <f>+' Račun prihoda i rashoda -ek.kl'!H12</f>
        <v>5505584</v>
      </c>
    </row>
    <row r="18" spans="1:11" ht="15" customHeight="1">
      <c r="A18" s="98">
        <v>7</v>
      </c>
      <c r="B18" s="171" t="s">
        <v>8</v>
      </c>
      <c r="C18" s="171"/>
      <c r="D18" s="171"/>
      <c r="E18" s="171"/>
      <c r="F18" s="172"/>
      <c r="G18" s="99">
        <f>+' Račun prihoda i rashoda -ek.kl'!D18</f>
        <v>0</v>
      </c>
      <c r="H18" s="99">
        <f>+' Račun prihoda i rashoda -ek.kl'!E18</f>
        <v>0</v>
      </c>
      <c r="I18" s="99">
        <f>+' Račun prihoda i rashoda -ek.kl'!F18</f>
        <v>0</v>
      </c>
      <c r="J18" s="99">
        <f>+' Račun prihoda i rashoda -ek.kl'!G18</f>
        <v>0</v>
      </c>
      <c r="K18" s="99">
        <f>+' Račun prihoda i rashoda -ek.kl'!H18</f>
        <v>0</v>
      </c>
    </row>
    <row r="19" spans="1:11" ht="15.75">
      <c r="A19" s="187" t="s">
        <v>1</v>
      </c>
      <c r="B19" s="188"/>
      <c r="C19" s="188"/>
      <c r="D19" s="188"/>
      <c r="E19" s="188"/>
      <c r="F19" s="189"/>
      <c r="G19" s="97">
        <f>+G20+G21</f>
        <v>2687538.4800000004</v>
      </c>
      <c r="H19" s="97">
        <f t="shared" ref="H19:K19" si="1">+H20+H21</f>
        <v>3943133</v>
      </c>
      <c r="I19" s="97">
        <f t="shared" si="1"/>
        <v>5494964</v>
      </c>
      <c r="J19" s="97">
        <f t="shared" si="1"/>
        <v>5462084</v>
      </c>
      <c r="K19" s="97">
        <f t="shared" si="1"/>
        <v>5505584</v>
      </c>
    </row>
    <row r="20" spans="1:11" ht="15" customHeight="1">
      <c r="A20" s="98">
        <v>3</v>
      </c>
      <c r="B20" s="190" t="s">
        <v>10</v>
      </c>
      <c r="C20" s="171"/>
      <c r="D20" s="171"/>
      <c r="E20" s="171"/>
      <c r="F20" s="172"/>
      <c r="G20" s="125">
        <f>+' Račun prihoda i rashoda -ek.kl'!D23</f>
        <v>2658110.3200000003</v>
      </c>
      <c r="H20" s="99">
        <f>+' Račun prihoda i rashoda -ek.kl'!E23</f>
        <v>3828971</v>
      </c>
      <c r="I20" s="99">
        <f>+' Račun prihoda i rashoda -ek.kl'!F23</f>
        <v>5400564</v>
      </c>
      <c r="J20" s="99">
        <f>+' Račun prihoda i rashoda -ek.kl'!G23</f>
        <v>5376574</v>
      </c>
      <c r="K20" s="99">
        <f>+' Račun prihoda i rashoda -ek.kl'!H23</f>
        <v>5379524</v>
      </c>
    </row>
    <row r="21" spans="1:11" ht="15" customHeight="1">
      <c r="A21" s="98">
        <v>4</v>
      </c>
      <c r="B21" s="190" t="s">
        <v>12</v>
      </c>
      <c r="C21" s="171"/>
      <c r="D21" s="171"/>
      <c r="E21" s="171"/>
      <c r="F21" s="172"/>
      <c r="G21" s="125">
        <f>+' Račun prihoda i rashoda -ek.kl'!D28</f>
        <v>29428.16</v>
      </c>
      <c r="H21" s="99">
        <f>+' Račun prihoda i rashoda -ek.kl'!E28</f>
        <v>114162</v>
      </c>
      <c r="I21" s="99">
        <f>+' Račun prihoda i rashoda -ek.kl'!F28</f>
        <v>94400</v>
      </c>
      <c r="J21" s="99">
        <f>+' Račun prihoda i rashoda -ek.kl'!G28</f>
        <v>85510</v>
      </c>
      <c r="K21" s="99">
        <f>+' Račun prihoda i rashoda -ek.kl'!H28</f>
        <v>126060</v>
      </c>
    </row>
    <row r="22" spans="1:11" ht="15.75">
      <c r="A22" s="169" t="s">
        <v>2</v>
      </c>
      <c r="B22" s="170"/>
      <c r="C22" s="170"/>
      <c r="D22" s="170"/>
      <c r="E22" s="170"/>
      <c r="F22" s="95"/>
      <c r="G22" s="97">
        <f>+G16-G19</f>
        <v>-6393.0400000005029</v>
      </c>
      <c r="H22" s="97">
        <f t="shared" ref="H22:K22" si="2">+H16-H19</f>
        <v>-18747</v>
      </c>
      <c r="I22" s="97">
        <f t="shared" si="2"/>
        <v>-5000</v>
      </c>
      <c r="J22" s="97">
        <f t="shared" si="2"/>
        <v>0</v>
      </c>
      <c r="K22" s="97">
        <f t="shared" si="2"/>
        <v>0</v>
      </c>
    </row>
    <row r="23" spans="1:11" ht="15.75">
      <c r="A23" s="50"/>
      <c r="B23" s="52"/>
      <c r="C23" s="52"/>
      <c r="D23" s="52"/>
      <c r="E23" s="52"/>
      <c r="F23" s="52"/>
      <c r="G23" s="52"/>
      <c r="H23" s="52"/>
      <c r="I23" s="100"/>
      <c r="J23" s="100"/>
      <c r="K23" s="91"/>
    </row>
    <row r="24" spans="1:11" s="33" customFormat="1" ht="15.75">
      <c r="A24" s="101"/>
      <c r="B24" s="102"/>
      <c r="C24" s="102"/>
      <c r="D24" s="102"/>
      <c r="E24" s="102"/>
      <c r="F24" s="102"/>
      <c r="G24" s="103"/>
      <c r="H24" s="103"/>
      <c r="I24" s="103"/>
      <c r="J24" s="103"/>
      <c r="K24" s="103"/>
    </row>
    <row r="25" spans="1:11" ht="18" customHeight="1">
      <c r="A25" s="167" t="s">
        <v>54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91"/>
    </row>
    <row r="26" spans="1:11" ht="15.75">
      <c r="A26" s="50"/>
      <c r="B26" s="52"/>
      <c r="C26" s="52"/>
      <c r="D26" s="52"/>
      <c r="E26" s="52"/>
      <c r="F26" s="52"/>
      <c r="G26" s="52"/>
      <c r="H26" s="52"/>
      <c r="I26" s="100"/>
      <c r="J26" s="100"/>
      <c r="K26" s="91"/>
    </row>
    <row r="27" spans="1:11" ht="33" customHeight="1">
      <c r="A27" s="164" t="s">
        <v>47</v>
      </c>
      <c r="B27" s="165"/>
      <c r="C27" s="165"/>
      <c r="D27" s="165"/>
      <c r="E27" s="165"/>
      <c r="F27" s="166"/>
      <c r="G27" s="94" t="s">
        <v>145</v>
      </c>
      <c r="H27" s="94" t="s">
        <v>146</v>
      </c>
      <c r="I27" s="94" t="s">
        <v>147</v>
      </c>
      <c r="J27" s="94" t="s">
        <v>73</v>
      </c>
      <c r="K27" s="94" t="s">
        <v>148</v>
      </c>
    </row>
    <row r="28" spans="1:11" ht="15.75" customHeight="1">
      <c r="A28" s="98">
        <v>8</v>
      </c>
      <c r="B28" s="171" t="s">
        <v>15</v>
      </c>
      <c r="C28" s="171"/>
      <c r="D28" s="171"/>
      <c r="E28" s="171"/>
      <c r="F28" s="172"/>
      <c r="G28" s="99">
        <v>0</v>
      </c>
      <c r="H28" s="99">
        <v>0</v>
      </c>
      <c r="I28" s="99">
        <v>0</v>
      </c>
      <c r="J28" s="99">
        <v>0</v>
      </c>
      <c r="K28" s="99">
        <v>0</v>
      </c>
    </row>
    <row r="29" spans="1:11" ht="15.75" customHeight="1">
      <c r="A29" s="98">
        <v>5</v>
      </c>
      <c r="B29" s="171" t="s">
        <v>16</v>
      </c>
      <c r="C29" s="171"/>
      <c r="D29" s="171"/>
      <c r="E29" s="171"/>
      <c r="F29" s="172"/>
      <c r="G29" s="99">
        <v>0</v>
      </c>
      <c r="H29" s="99">
        <v>0</v>
      </c>
      <c r="I29" s="99">
        <v>0</v>
      </c>
      <c r="J29" s="99">
        <v>0</v>
      </c>
      <c r="K29" s="99">
        <v>0</v>
      </c>
    </row>
    <row r="30" spans="1:11" ht="15.75">
      <c r="A30" s="169" t="s">
        <v>3</v>
      </c>
      <c r="B30" s="170"/>
      <c r="C30" s="170"/>
      <c r="D30" s="170"/>
      <c r="E30" s="170"/>
      <c r="F30" s="95"/>
      <c r="G30" s="97">
        <f>+G28-G29</f>
        <v>0</v>
      </c>
      <c r="H30" s="97">
        <f t="shared" ref="H30:K31" si="3">+H28-H29</f>
        <v>0</v>
      </c>
      <c r="I30" s="97">
        <f t="shared" si="3"/>
        <v>0</v>
      </c>
      <c r="J30" s="97">
        <f t="shared" si="3"/>
        <v>0</v>
      </c>
      <c r="K30" s="97">
        <f t="shared" si="3"/>
        <v>0</v>
      </c>
    </row>
    <row r="31" spans="1:11" ht="15.75" customHeight="1">
      <c r="A31" s="169" t="s">
        <v>292</v>
      </c>
      <c r="B31" s="176"/>
      <c r="C31" s="176"/>
      <c r="D31" s="176"/>
      <c r="E31" s="176"/>
      <c r="F31" s="177"/>
      <c r="G31" s="97">
        <f>+G29-G30</f>
        <v>0</v>
      </c>
      <c r="H31" s="97">
        <f t="shared" si="3"/>
        <v>0</v>
      </c>
      <c r="I31" s="97">
        <f t="shared" si="3"/>
        <v>0</v>
      </c>
      <c r="J31" s="97">
        <f t="shared" si="3"/>
        <v>0</v>
      </c>
      <c r="K31" s="97">
        <f t="shared" si="3"/>
        <v>0</v>
      </c>
    </row>
    <row r="32" spans="1:11" ht="15.75">
      <c r="A32" s="104"/>
      <c r="B32" s="52"/>
      <c r="C32" s="52"/>
      <c r="D32" s="52"/>
      <c r="E32" s="52"/>
      <c r="F32" s="52"/>
      <c r="G32" s="52"/>
      <c r="H32" s="52"/>
      <c r="I32" s="100"/>
      <c r="J32" s="100"/>
      <c r="K32" s="91"/>
    </row>
    <row r="33" spans="1:11" s="33" customFormat="1" ht="15.75">
      <c r="A33" s="101"/>
      <c r="B33" s="102"/>
      <c r="C33" s="102"/>
      <c r="D33" s="102"/>
      <c r="E33" s="102"/>
      <c r="F33" s="102"/>
      <c r="G33" s="103"/>
      <c r="H33" s="103"/>
      <c r="I33" s="103"/>
      <c r="J33" s="103"/>
      <c r="K33" s="103"/>
    </row>
    <row r="34" spans="1:11" ht="18" customHeight="1">
      <c r="A34" s="167" t="s">
        <v>293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91"/>
    </row>
    <row r="35" spans="1:11" ht="15.75">
      <c r="A35" s="104"/>
      <c r="B35" s="52"/>
      <c r="C35" s="52"/>
      <c r="D35" s="52"/>
      <c r="E35" s="52"/>
      <c r="F35" s="52"/>
      <c r="G35" s="52"/>
      <c r="H35" s="52"/>
      <c r="I35" s="100"/>
      <c r="J35" s="100"/>
      <c r="K35" s="91"/>
    </row>
    <row r="36" spans="1:11" ht="34.5" customHeight="1">
      <c r="A36" s="164" t="s">
        <v>47</v>
      </c>
      <c r="B36" s="165"/>
      <c r="C36" s="165"/>
      <c r="D36" s="165"/>
      <c r="E36" s="165"/>
      <c r="F36" s="166"/>
      <c r="G36" s="94" t="s">
        <v>145</v>
      </c>
      <c r="H36" s="94" t="s">
        <v>146</v>
      </c>
      <c r="I36" s="94" t="s">
        <v>147</v>
      </c>
      <c r="J36" s="94" t="s">
        <v>73</v>
      </c>
      <c r="K36" s="94" t="s">
        <v>148</v>
      </c>
    </row>
    <row r="37" spans="1:11" ht="30" customHeight="1">
      <c r="A37" s="173" t="s">
        <v>294</v>
      </c>
      <c r="B37" s="174"/>
      <c r="C37" s="174"/>
      <c r="D37" s="174"/>
      <c r="E37" s="174"/>
      <c r="F37" s="175"/>
      <c r="G37" s="105">
        <v>25140</v>
      </c>
      <c r="H37" s="105">
        <v>18747</v>
      </c>
      <c r="I37" s="105">
        <v>5000</v>
      </c>
      <c r="J37" s="105">
        <v>0</v>
      </c>
      <c r="K37" s="106">
        <v>0</v>
      </c>
    </row>
    <row r="38" spans="1:11" ht="33.75" customHeight="1">
      <c r="A38" s="173" t="s">
        <v>295</v>
      </c>
      <c r="B38" s="174"/>
      <c r="C38" s="174"/>
      <c r="D38" s="174"/>
      <c r="E38" s="174"/>
      <c r="F38" s="175"/>
      <c r="G38" s="126">
        <v>18747</v>
      </c>
      <c r="H38" s="107">
        <v>0</v>
      </c>
      <c r="I38" s="107">
        <v>0</v>
      </c>
      <c r="J38" s="107">
        <v>0</v>
      </c>
      <c r="K38" s="108">
        <v>0</v>
      </c>
    </row>
    <row r="39" spans="1:11" ht="50.25" customHeight="1">
      <c r="A39" s="178" t="s">
        <v>296</v>
      </c>
      <c r="B39" s="179"/>
      <c r="C39" s="179"/>
      <c r="D39" s="179"/>
      <c r="E39" s="179"/>
      <c r="F39" s="180"/>
      <c r="G39" s="109">
        <f>+G22+G31+G37-G38</f>
        <v>-4.000000050291419E-2</v>
      </c>
      <c r="H39" s="109">
        <f>+H22+H31+H37-H38</f>
        <v>0</v>
      </c>
      <c r="I39" s="109">
        <f>+I22+I31+I37-I38</f>
        <v>0</v>
      </c>
      <c r="J39" s="109">
        <f>+J22+J31+J37-J38</f>
        <v>0</v>
      </c>
      <c r="K39" s="109">
        <f>+K22+K31+K37-K38</f>
        <v>0</v>
      </c>
    </row>
    <row r="40" spans="1:11" s="49" customFormat="1" ht="15.75" customHeight="1">
      <c r="A40" s="47"/>
      <c r="B40" s="47"/>
      <c r="C40" s="47"/>
      <c r="D40" s="47"/>
      <c r="E40" s="47"/>
      <c r="F40" s="47"/>
      <c r="G40" s="48"/>
      <c r="H40" s="48"/>
      <c r="I40" s="48"/>
      <c r="J40" s="48"/>
      <c r="K40" s="48"/>
    </row>
    <row r="41" spans="1:11" s="49" customFormat="1" ht="15.75" customHeight="1">
      <c r="A41" s="47"/>
      <c r="B41" s="47"/>
      <c r="C41" s="47"/>
      <c r="D41" s="47"/>
      <c r="E41" s="47"/>
      <c r="F41" s="47"/>
      <c r="G41" s="48"/>
      <c r="H41" s="48"/>
      <c r="I41" s="48"/>
      <c r="J41" s="48"/>
      <c r="K41" s="48"/>
    </row>
    <row r="42" spans="1:11" ht="18" customHeight="1">
      <c r="A42" s="167" t="s">
        <v>297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91"/>
    </row>
    <row r="43" spans="1:11" ht="15.75">
      <c r="A43" s="104"/>
      <c r="B43" s="52"/>
      <c r="C43" s="52"/>
      <c r="D43" s="52"/>
      <c r="E43" s="52"/>
      <c r="F43" s="52"/>
      <c r="G43" s="52"/>
      <c r="H43" s="52"/>
      <c r="I43" s="100"/>
      <c r="J43" s="100"/>
      <c r="K43" s="91"/>
    </row>
    <row r="44" spans="1:11" ht="34.5" customHeight="1">
      <c r="A44" s="164" t="s">
        <v>47</v>
      </c>
      <c r="B44" s="165"/>
      <c r="C44" s="165"/>
      <c r="D44" s="165"/>
      <c r="E44" s="165"/>
      <c r="F44" s="166"/>
      <c r="G44" s="94" t="s">
        <v>145</v>
      </c>
      <c r="H44" s="94" t="s">
        <v>146</v>
      </c>
      <c r="I44" s="94" t="s">
        <v>147</v>
      </c>
      <c r="J44" s="94" t="s">
        <v>73</v>
      </c>
      <c r="K44" s="94" t="s">
        <v>148</v>
      </c>
    </row>
    <row r="45" spans="1:11" ht="30" customHeight="1">
      <c r="A45" s="173" t="s">
        <v>294</v>
      </c>
      <c r="B45" s="174"/>
      <c r="C45" s="174"/>
      <c r="D45" s="174"/>
      <c r="E45" s="174"/>
      <c r="F45" s="175"/>
      <c r="G45" s="126">
        <v>0</v>
      </c>
      <c r="H45" s="107">
        <v>0</v>
      </c>
      <c r="I45" s="107">
        <v>0</v>
      </c>
      <c r="J45" s="107">
        <v>0</v>
      </c>
      <c r="K45" s="108">
        <v>0</v>
      </c>
    </row>
    <row r="46" spans="1:11" ht="33.75" customHeight="1">
      <c r="A46" s="173" t="s">
        <v>298</v>
      </c>
      <c r="B46" s="174"/>
      <c r="C46" s="174"/>
      <c r="D46" s="174"/>
      <c r="E46" s="174"/>
      <c r="F46" s="175"/>
      <c r="G46" s="126">
        <v>0</v>
      </c>
      <c r="H46" s="107">
        <v>0</v>
      </c>
      <c r="I46" s="107">
        <v>0</v>
      </c>
      <c r="J46" s="107">
        <v>0</v>
      </c>
      <c r="K46" s="108">
        <v>0</v>
      </c>
    </row>
    <row r="47" spans="1:11" ht="33.75" customHeight="1">
      <c r="A47" s="173" t="s">
        <v>299</v>
      </c>
      <c r="B47" s="174"/>
      <c r="C47" s="174"/>
      <c r="D47" s="174"/>
      <c r="E47" s="174"/>
      <c r="F47" s="175"/>
      <c r="G47" s="107">
        <v>0</v>
      </c>
      <c r="H47" s="107">
        <v>0</v>
      </c>
      <c r="I47" s="107">
        <v>0</v>
      </c>
      <c r="J47" s="107">
        <v>0</v>
      </c>
      <c r="K47" s="108">
        <v>0</v>
      </c>
    </row>
    <row r="48" spans="1:11" ht="33.75" customHeight="1">
      <c r="A48" s="178" t="s">
        <v>295</v>
      </c>
      <c r="B48" s="179"/>
      <c r="C48" s="179"/>
      <c r="D48" s="179"/>
      <c r="E48" s="179"/>
      <c r="F48" s="180"/>
      <c r="G48" s="109">
        <f>+G46-G47</f>
        <v>0</v>
      </c>
      <c r="H48" s="109">
        <f t="shared" ref="H48:K48" si="4">+H46-H47</f>
        <v>0</v>
      </c>
      <c r="I48" s="109">
        <f t="shared" si="4"/>
        <v>0</v>
      </c>
      <c r="J48" s="109">
        <f t="shared" si="4"/>
        <v>0</v>
      </c>
      <c r="K48" s="109">
        <f t="shared" si="4"/>
        <v>0</v>
      </c>
    </row>
    <row r="49" spans="1:11" ht="15.75" customHeight="1">
      <c r="A49" s="20"/>
      <c r="B49" s="21"/>
      <c r="C49" s="21"/>
      <c r="D49" s="21"/>
      <c r="E49" s="21"/>
      <c r="F49" s="21"/>
      <c r="G49" s="22"/>
      <c r="H49" s="22"/>
      <c r="I49" s="22"/>
      <c r="J49" s="22"/>
    </row>
    <row r="50" spans="1:11" ht="15.75" customHeight="1">
      <c r="A50" s="12"/>
      <c r="B50" s="13"/>
      <c r="C50" s="13"/>
      <c r="D50" s="13"/>
      <c r="E50" s="13"/>
      <c r="F50" s="13"/>
      <c r="G50" s="14"/>
      <c r="H50" s="14"/>
      <c r="I50" s="14"/>
      <c r="J50" s="14"/>
    </row>
    <row r="51" spans="1:11" ht="17.25" customHeight="1">
      <c r="A51" s="184" t="s">
        <v>300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7.25" customHeight="1">
      <c r="A52" s="12"/>
      <c r="B52" s="13"/>
      <c r="C52" s="13"/>
      <c r="D52" s="13"/>
      <c r="E52" s="13"/>
      <c r="F52" s="13"/>
      <c r="G52" s="14"/>
      <c r="H52" s="14"/>
      <c r="I52" s="14"/>
      <c r="J52" s="14"/>
    </row>
    <row r="53" spans="1:11" ht="29.25" customHeight="1">
      <c r="A53" s="164" t="s">
        <v>47</v>
      </c>
      <c r="B53" s="165"/>
      <c r="C53" s="165"/>
      <c r="D53" s="165"/>
      <c r="E53" s="165"/>
      <c r="F53" s="166"/>
      <c r="G53" s="94" t="s">
        <v>145</v>
      </c>
      <c r="H53" s="94" t="s">
        <v>146</v>
      </c>
      <c r="I53" s="94" t="s">
        <v>147</v>
      </c>
      <c r="J53" s="94" t="s">
        <v>73</v>
      </c>
      <c r="K53" s="94" t="s">
        <v>148</v>
      </c>
    </row>
    <row r="54" spans="1:11" ht="25.5" customHeight="1">
      <c r="A54" s="181" t="s">
        <v>50</v>
      </c>
      <c r="B54" s="182"/>
      <c r="C54" s="182"/>
      <c r="D54" s="182"/>
      <c r="E54" s="182"/>
      <c r="F54" s="183"/>
      <c r="G54" s="107">
        <f>+G16+G28+G37+G48</f>
        <v>2706285.44</v>
      </c>
      <c r="H54" s="107">
        <f>+H16+H56</f>
        <v>3953462</v>
      </c>
      <c r="I54" s="107">
        <f>+I16+I56</f>
        <v>5494964</v>
      </c>
      <c r="J54" s="107">
        <f>+J16+J56</f>
        <v>5462084</v>
      </c>
      <c r="K54" s="107">
        <f>+K16+K56</f>
        <v>5505584</v>
      </c>
    </row>
    <row r="55" spans="1:11" ht="25.5" customHeight="1">
      <c r="A55" s="181" t="s">
        <v>51</v>
      </c>
      <c r="B55" s="182"/>
      <c r="C55" s="182"/>
      <c r="D55" s="182"/>
      <c r="E55" s="182"/>
      <c r="F55" s="183"/>
      <c r="G55" s="107">
        <f>+G19+G29</f>
        <v>2687538.4800000004</v>
      </c>
      <c r="H55" s="107">
        <f>+H19+H57</f>
        <v>3953462</v>
      </c>
      <c r="I55" s="107">
        <f>+I19+I57</f>
        <v>5494964</v>
      </c>
      <c r="J55" s="107">
        <f>+J19+J57</f>
        <v>5462084</v>
      </c>
      <c r="K55" s="107">
        <f>+K19+K57</f>
        <v>5505584</v>
      </c>
    </row>
    <row r="56" spans="1:11" ht="30.75" customHeight="1">
      <c r="A56" s="130">
        <v>9</v>
      </c>
      <c r="B56" s="182" t="s">
        <v>48</v>
      </c>
      <c r="C56" s="182"/>
      <c r="D56" s="182"/>
      <c r="E56" s="182"/>
      <c r="F56" s="183"/>
      <c r="G56" s="107">
        <v>25140</v>
      </c>
      <c r="H56" s="107">
        <v>29076</v>
      </c>
      <c r="I56" s="107">
        <v>5000</v>
      </c>
      <c r="J56" s="107">
        <v>0</v>
      </c>
      <c r="K56" s="107">
        <v>0</v>
      </c>
    </row>
    <row r="57" spans="1:11" ht="25.5" customHeight="1">
      <c r="A57" s="130">
        <v>9</v>
      </c>
      <c r="B57" s="182" t="s">
        <v>49</v>
      </c>
      <c r="C57" s="182"/>
      <c r="D57" s="182"/>
      <c r="E57" s="182"/>
      <c r="F57" s="183"/>
      <c r="G57" s="107">
        <v>0</v>
      </c>
      <c r="H57" s="107">
        <v>10329</v>
      </c>
      <c r="I57" s="107">
        <v>0</v>
      </c>
      <c r="J57" s="107">
        <v>0</v>
      </c>
      <c r="K57" s="107">
        <v>0</v>
      </c>
    </row>
    <row r="58" spans="1:11" ht="30" customHeight="1">
      <c r="A58" s="178" t="s">
        <v>52</v>
      </c>
      <c r="B58" s="179"/>
      <c r="C58" s="179"/>
      <c r="D58" s="179"/>
      <c r="E58" s="179"/>
      <c r="F58" s="180"/>
      <c r="G58" s="109">
        <f>+G54-G55</f>
        <v>18746.959999999497</v>
      </c>
      <c r="H58" s="109">
        <f>+H54-H55</f>
        <v>0</v>
      </c>
      <c r="I58" s="109">
        <f t="shared" ref="I58:K58" si="5">+I54-I55</f>
        <v>0</v>
      </c>
      <c r="J58" s="109">
        <f t="shared" si="5"/>
        <v>0</v>
      </c>
      <c r="K58" s="109">
        <f t="shared" si="5"/>
        <v>0</v>
      </c>
    </row>
    <row r="59" spans="1:11" ht="18" customHeight="1">
      <c r="A59" s="12"/>
      <c r="B59" s="13"/>
      <c r="C59" s="13"/>
      <c r="D59" s="13"/>
      <c r="E59" s="13"/>
      <c r="F59" s="13"/>
      <c r="G59" s="14"/>
      <c r="H59" s="14"/>
      <c r="I59" s="14"/>
      <c r="J59" s="14"/>
    </row>
    <row r="60" spans="1:11" ht="18" customHeight="1">
      <c r="A60" s="12"/>
      <c r="B60" s="13"/>
      <c r="C60" s="13"/>
      <c r="D60" s="13"/>
      <c r="E60" s="13"/>
      <c r="F60" s="13"/>
      <c r="G60" s="14"/>
      <c r="H60" s="14"/>
      <c r="I60" s="14"/>
      <c r="J60" s="14"/>
    </row>
    <row r="61" spans="1:11" ht="11.25" customHeight="1">
      <c r="A61" s="12"/>
      <c r="B61" s="13"/>
      <c r="C61" s="13"/>
      <c r="D61" s="13"/>
      <c r="E61" s="13"/>
      <c r="F61" s="13"/>
      <c r="G61" s="14"/>
      <c r="H61" s="14"/>
      <c r="I61" s="14"/>
      <c r="J61" s="14"/>
    </row>
    <row r="62" spans="1:11" ht="11.25" customHeight="1">
      <c r="A62" s="12"/>
      <c r="B62" s="13"/>
      <c r="C62" s="13"/>
      <c r="D62" s="13"/>
      <c r="E62" s="13"/>
      <c r="F62" s="13"/>
      <c r="G62" s="14"/>
      <c r="H62" s="14"/>
      <c r="I62" s="14"/>
      <c r="J62" s="14"/>
    </row>
    <row r="63" spans="1:11" ht="11.25" customHeight="1">
      <c r="A63" s="12"/>
      <c r="B63" s="13"/>
      <c r="C63" s="13"/>
      <c r="D63" s="13"/>
      <c r="E63" s="13"/>
      <c r="F63" s="13"/>
      <c r="G63" s="14"/>
      <c r="H63" s="14"/>
      <c r="I63" s="14"/>
      <c r="J63" s="14"/>
    </row>
  </sheetData>
  <mergeCells count="41">
    <mergeCell ref="A1:K1"/>
    <mergeCell ref="A2:K2"/>
    <mergeCell ref="A3:K3"/>
    <mergeCell ref="A10:K10"/>
    <mergeCell ref="A4:K4"/>
    <mergeCell ref="A8:K8"/>
    <mergeCell ref="A6:K6"/>
    <mergeCell ref="A9:K9"/>
    <mergeCell ref="A13:J13"/>
    <mergeCell ref="A25:J25"/>
    <mergeCell ref="A16:E16"/>
    <mergeCell ref="B17:F17"/>
    <mergeCell ref="A22:E22"/>
    <mergeCell ref="B18:F18"/>
    <mergeCell ref="A19:F19"/>
    <mergeCell ref="B20:F20"/>
    <mergeCell ref="B21:F21"/>
    <mergeCell ref="A15:F15"/>
    <mergeCell ref="A58:F58"/>
    <mergeCell ref="A55:F55"/>
    <mergeCell ref="A54:F54"/>
    <mergeCell ref="A51:K51"/>
    <mergeCell ref="A39:F39"/>
    <mergeCell ref="A42:J42"/>
    <mergeCell ref="A44:F44"/>
    <mergeCell ref="A45:F45"/>
    <mergeCell ref="A48:F48"/>
    <mergeCell ref="A46:F46"/>
    <mergeCell ref="A47:F47"/>
    <mergeCell ref="B56:F56"/>
    <mergeCell ref="B57:F57"/>
    <mergeCell ref="A27:F27"/>
    <mergeCell ref="A36:F36"/>
    <mergeCell ref="A53:F53"/>
    <mergeCell ref="A34:J34"/>
    <mergeCell ref="A30:E30"/>
    <mergeCell ref="B28:F28"/>
    <mergeCell ref="B29:F29"/>
    <mergeCell ref="A37:F37"/>
    <mergeCell ref="A31:F31"/>
    <mergeCell ref="A38:F38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5BEA-6440-4179-97B5-3BA7F1BC5572}">
  <sheetPr>
    <pageSetUpPr fitToPage="1"/>
  </sheetPr>
  <dimension ref="A1:P30"/>
  <sheetViews>
    <sheetView workbookViewId="0">
      <selection activeCell="A6" sqref="A6:H6"/>
    </sheetView>
  </sheetViews>
  <sheetFormatPr defaultRowHeight="15"/>
  <cols>
    <col min="1" max="1" width="7.42578125" bestFit="1" customWidth="1"/>
    <col min="2" max="2" width="8.85546875" customWidth="1"/>
    <col min="3" max="3" width="30.42578125" customWidth="1"/>
    <col min="4" max="8" width="13" customWidth="1"/>
    <col min="9" max="11" width="12.7109375" style="30" bestFit="1" customWidth="1"/>
    <col min="12" max="12" width="13.5703125" customWidth="1"/>
    <col min="13" max="13" width="10.140625" bestFit="1" customWidth="1"/>
    <col min="15" max="15" width="10.140625" bestFit="1" customWidth="1"/>
  </cols>
  <sheetData>
    <row r="1" spans="1:15" s="23" customFormat="1" ht="15.75" customHeight="1">
      <c r="A1" s="167" t="s">
        <v>58</v>
      </c>
      <c r="B1" s="167"/>
      <c r="C1" s="167"/>
      <c r="D1" s="167"/>
      <c r="E1" s="167"/>
      <c r="F1" s="167"/>
      <c r="G1" s="167"/>
      <c r="H1" s="167"/>
      <c r="I1" s="53"/>
      <c r="J1" s="53"/>
    </row>
    <row r="2" spans="1:15" ht="15.75">
      <c r="A2" s="167"/>
      <c r="B2" s="167"/>
      <c r="C2" s="167"/>
      <c r="D2" s="167"/>
      <c r="E2" s="167"/>
      <c r="F2" s="167"/>
      <c r="G2" s="167"/>
      <c r="H2" s="167"/>
    </row>
    <row r="3" spans="1:15" ht="18" customHeight="1">
      <c r="A3" s="191" t="s">
        <v>132</v>
      </c>
      <c r="B3" s="191"/>
      <c r="C3" s="191"/>
      <c r="D3" s="191"/>
      <c r="E3" s="191"/>
      <c r="F3" s="191"/>
      <c r="G3" s="191"/>
      <c r="H3" s="191"/>
    </row>
    <row r="4" spans="1:15" ht="18" customHeight="1">
      <c r="A4" s="191" t="s">
        <v>130</v>
      </c>
      <c r="B4" s="191"/>
      <c r="C4" s="191"/>
      <c r="D4" s="191"/>
      <c r="E4" s="191"/>
      <c r="F4" s="191"/>
      <c r="G4" s="191"/>
      <c r="H4" s="191"/>
    </row>
    <row r="5" spans="1:15" ht="18">
      <c r="A5" s="196"/>
      <c r="B5" s="196"/>
      <c r="C5" s="196"/>
      <c r="D5" s="196"/>
      <c r="E5" s="196"/>
      <c r="F5" s="196"/>
      <c r="G5" s="196"/>
      <c r="H5" s="196"/>
      <c r="L5" s="32"/>
    </row>
    <row r="6" spans="1:15" ht="20.25" customHeight="1">
      <c r="A6" s="167" t="s">
        <v>59</v>
      </c>
      <c r="B6" s="167"/>
      <c r="C6" s="167"/>
      <c r="D6" s="167"/>
      <c r="E6" s="167"/>
      <c r="F6" s="167"/>
      <c r="G6" s="167"/>
      <c r="H6" s="167"/>
      <c r="I6" s="54"/>
      <c r="J6" s="54"/>
      <c r="K6"/>
    </row>
    <row r="7" spans="1:15" ht="15" customHeight="1">
      <c r="A7" s="50"/>
      <c r="B7" s="50"/>
      <c r="C7" s="50"/>
      <c r="D7" s="50"/>
      <c r="E7" s="50"/>
      <c r="F7" s="50"/>
      <c r="G7" s="50"/>
      <c r="H7" s="50"/>
      <c r="I7" s="54"/>
      <c r="J7" s="54"/>
      <c r="K7"/>
    </row>
    <row r="8" spans="1:15" ht="20.25" customHeight="1">
      <c r="A8" s="167" t="s">
        <v>301</v>
      </c>
      <c r="B8" s="167"/>
      <c r="C8" s="167"/>
      <c r="D8" s="167"/>
      <c r="E8" s="167"/>
      <c r="F8" s="167"/>
      <c r="G8" s="167"/>
      <c r="H8" s="167"/>
      <c r="I8" s="54"/>
      <c r="J8" s="54"/>
      <c r="K8"/>
    </row>
    <row r="9" spans="1:15" ht="18" customHeight="1">
      <c r="A9" s="3"/>
      <c r="B9" s="3"/>
      <c r="C9" s="3"/>
      <c r="D9" s="3"/>
      <c r="E9" s="3"/>
      <c r="F9" s="3"/>
      <c r="G9" s="4"/>
      <c r="H9" s="28"/>
      <c r="L9" s="32"/>
    </row>
    <row r="10" spans="1:15" ht="25.5" customHeight="1">
      <c r="A10" s="84" t="s">
        <v>5</v>
      </c>
      <c r="B10" s="84" t="s">
        <v>6</v>
      </c>
      <c r="C10" s="84" t="s">
        <v>4</v>
      </c>
      <c r="D10" s="25" t="s">
        <v>141</v>
      </c>
      <c r="E10" s="25" t="s">
        <v>140</v>
      </c>
      <c r="F10" s="25" t="s">
        <v>138</v>
      </c>
      <c r="G10" s="25" t="s">
        <v>70</v>
      </c>
      <c r="H10" s="25" t="s">
        <v>139</v>
      </c>
      <c r="L10" s="32"/>
    </row>
    <row r="11" spans="1:15" s="33" customFormat="1" ht="24.75" customHeight="1">
      <c r="A11" s="86"/>
      <c r="B11" s="86"/>
      <c r="C11" s="86" t="s">
        <v>72</v>
      </c>
      <c r="D11" s="85">
        <f>+D12+D18</f>
        <v>2681145.44</v>
      </c>
      <c r="E11" s="85">
        <f t="shared" ref="E11:H11" si="0">+E12+E18</f>
        <v>3924386</v>
      </c>
      <c r="F11" s="85">
        <f t="shared" si="0"/>
        <v>5489964</v>
      </c>
      <c r="G11" s="85">
        <f t="shared" si="0"/>
        <v>5462084</v>
      </c>
      <c r="H11" s="85">
        <f t="shared" si="0"/>
        <v>5505584</v>
      </c>
      <c r="I11" s="69"/>
      <c r="J11" s="69"/>
      <c r="K11" s="69"/>
      <c r="M11" s="69"/>
      <c r="O11" s="69"/>
    </row>
    <row r="12" spans="1:15" s="33" customFormat="1" ht="24.75" customHeight="1">
      <c r="A12" s="67">
        <v>6</v>
      </c>
      <c r="B12" s="76"/>
      <c r="C12" s="19" t="s">
        <v>7</v>
      </c>
      <c r="D12" s="85">
        <f>SUM(D13:D17)</f>
        <v>2681145.44</v>
      </c>
      <c r="E12" s="85">
        <f t="shared" ref="E12:H12" si="1">SUM(E13:E17)</f>
        <v>3924386</v>
      </c>
      <c r="F12" s="85">
        <f t="shared" si="1"/>
        <v>5489964</v>
      </c>
      <c r="G12" s="85">
        <f t="shared" si="1"/>
        <v>5462084</v>
      </c>
      <c r="H12" s="85">
        <f t="shared" si="1"/>
        <v>5505584</v>
      </c>
      <c r="I12" s="69"/>
      <c r="J12" s="69"/>
      <c r="K12" s="69"/>
      <c r="M12" s="69"/>
      <c r="O12" s="69"/>
    </row>
    <row r="13" spans="1:15" ht="25.5">
      <c r="A13" s="11"/>
      <c r="B13" s="11">
        <v>63</v>
      </c>
      <c r="C13" s="11" t="s">
        <v>22</v>
      </c>
      <c r="D13" s="120">
        <v>18590.8</v>
      </c>
      <c r="E13" s="120">
        <v>31727</v>
      </c>
      <c r="F13" s="62">
        <v>31227</v>
      </c>
      <c r="G13" s="62">
        <v>31227</v>
      </c>
      <c r="H13" s="62">
        <v>31227</v>
      </c>
      <c r="L13" s="32"/>
    </row>
    <row r="14" spans="1:15" ht="24" customHeight="1">
      <c r="A14" s="11"/>
      <c r="B14" s="11">
        <v>64</v>
      </c>
      <c r="C14" s="11" t="s">
        <v>36</v>
      </c>
      <c r="D14" s="120">
        <v>0.02</v>
      </c>
      <c r="E14" s="120">
        <v>1</v>
      </c>
      <c r="F14" s="62">
        <v>1</v>
      </c>
      <c r="G14" s="62">
        <v>1</v>
      </c>
      <c r="H14" s="62">
        <v>1</v>
      </c>
      <c r="L14" s="32"/>
    </row>
    <row r="15" spans="1:15" ht="38.25">
      <c r="A15" s="11"/>
      <c r="B15" s="11">
        <v>65</v>
      </c>
      <c r="C15" s="11" t="s">
        <v>37</v>
      </c>
      <c r="D15" s="120">
        <v>514300.67</v>
      </c>
      <c r="E15" s="120">
        <f>576000+146</f>
        <v>576146</v>
      </c>
      <c r="F15" s="62">
        <f>617240+146</f>
        <v>617386</v>
      </c>
      <c r="G15" s="62">
        <f>630960+146</f>
        <v>631106</v>
      </c>
      <c r="H15" s="62">
        <f>645960+146</f>
        <v>646106</v>
      </c>
    </row>
    <row r="16" spans="1:15" ht="56.25" customHeight="1">
      <c r="A16" s="11"/>
      <c r="B16" s="11">
        <v>66</v>
      </c>
      <c r="C16" s="11" t="s">
        <v>38</v>
      </c>
      <c r="D16" s="120">
        <v>17993.349999999999</v>
      </c>
      <c r="E16" s="120">
        <f>10922+26500</f>
        <v>37422</v>
      </c>
      <c r="F16" s="62">
        <f>11150+16000</f>
        <v>27150</v>
      </c>
      <c r="G16" s="62">
        <f>11150+16000</f>
        <v>27150</v>
      </c>
      <c r="H16" s="62">
        <f>11150+16000</f>
        <v>27150</v>
      </c>
    </row>
    <row r="17" spans="1:16" ht="38.25">
      <c r="A17" s="11"/>
      <c r="B17" s="77">
        <v>67</v>
      </c>
      <c r="C17" s="11" t="s">
        <v>39</v>
      </c>
      <c r="D17" s="120">
        <v>2130260.6</v>
      </c>
      <c r="E17" s="120">
        <v>3279090</v>
      </c>
      <c r="F17" s="62">
        <f>4806300+192500-164600-20000</f>
        <v>4814200</v>
      </c>
      <c r="G17" s="62">
        <f>4584600+188000</f>
        <v>4772600</v>
      </c>
      <c r="H17" s="62">
        <f>4605100+196000</f>
        <v>4801100</v>
      </c>
    </row>
    <row r="18" spans="1:16" s="33" customFormat="1" ht="24.75" customHeight="1">
      <c r="A18" s="67">
        <v>7</v>
      </c>
      <c r="B18" s="76"/>
      <c r="C18" s="19" t="s">
        <v>75</v>
      </c>
      <c r="D18" s="85">
        <f>SUM(D19:D20)</f>
        <v>0</v>
      </c>
      <c r="E18" s="85">
        <f>SUM(E19:E20)</f>
        <v>0</v>
      </c>
      <c r="F18" s="85">
        <f>SUM(F19:F20)</f>
        <v>0</v>
      </c>
      <c r="G18" s="85">
        <f>SUM(G19:G20)</f>
        <v>0</v>
      </c>
      <c r="H18" s="85">
        <f>SUM(H19:H20)</f>
        <v>0</v>
      </c>
      <c r="I18" s="69"/>
      <c r="J18" s="69"/>
      <c r="K18" s="69"/>
      <c r="M18" s="69"/>
      <c r="O18" s="69"/>
    </row>
    <row r="19" spans="1:16" ht="25.5">
      <c r="A19" s="11"/>
      <c r="B19" s="11">
        <v>72</v>
      </c>
      <c r="C19" s="11" t="s">
        <v>76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L19" s="32"/>
    </row>
    <row r="20" spans="1:16">
      <c r="A20" s="93"/>
      <c r="B20" s="93"/>
      <c r="C20" s="93"/>
      <c r="D20" s="93"/>
      <c r="E20" s="93"/>
      <c r="F20" s="93"/>
      <c r="G20" s="4"/>
      <c r="H20" s="92"/>
    </row>
    <row r="21" spans="1:16" ht="25.5" customHeight="1">
      <c r="A21" s="84" t="s">
        <v>5</v>
      </c>
      <c r="B21" s="84" t="s">
        <v>6</v>
      </c>
      <c r="C21" s="84" t="s">
        <v>9</v>
      </c>
      <c r="D21" s="25" t="s">
        <v>141</v>
      </c>
      <c r="E21" s="25" t="s">
        <v>140</v>
      </c>
      <c r="F21" s="25" t="s">
        <v>138</v>
      </c>
      <c r="G21" s="25" t="s">
        <v>70</v>
      </c>
      <c r="H21" s="25" t="s">
        <v>139</v>
      </c>
    </row>
    <row r="22" spans="1:16" s="33" customFormat="1" ht="24.75" customHeight="1">
      <c r="A22" s="86"/>
      <c r="B22" s="86"/>
      <c r="C22" s="86" t="s">
        <v>71</v>
      </c>
      <c r="D22" s="87">
        <f>+D23+D28</f>
        <v>2687538.4800000004</v>
      </c>
      <c r="E22" s="68">
        <f t="shared" ref="E22:H22" si="2">+E23+E28</f>
        <v>3943133</v>
      </c>
      <c r="F22" s="68">
        <f>+F23+F28</f>
        <v>5494964</v>
      </c>
      <c r="G22" s="68">
        <f t="shared" si="2"/>
        <v>5462084</v>
      </c>
      <c r="H22" s="68">
        <f t="shared" si="2"/>
        <v>5505584</v>
      </c>
      <c r="I22" s="69"/>
      <c r="J22" s="69"/>
      <c r="K22" s="69"/>
      <c r="M22" s="69"/>
      <c r="O22" s="69"/>
    </row>
    <row r="23" spans="1:16" s="23" customFormat="1" ht="15.75" customHeight="1">
      <c r="A23" s="9">
        <v>3</v>
      </c>
      <c r="B23" s="9"/>
      <c r="C23" s="9" t="s">
        <v>10</v>
      </c>
      <c r="D23" s="66">
        <f>SUM(D24:D27)</f>
        <v>2658110.3200000003</v>
      </c>
      <c r="E23" s="66">
        <f t="shared" ref="E23:H23" si="3">SUM(E24:E27)</f>
        <v>3828971</v>
      </c>
      <c r="F23" s="66">
        <f>SUM(F24:F27)</f>
        <v>5400564</v>
      </c>
      <c r="G23" s="66">
        <f t="shared" si="3"/>
        <v>5376574</v>
      </c>
      <c r="H23" s="66">
        <f t="shared" si="3"/>
        <v>5379524</v>
      </c>
      <c r="I23" s="45"/>
      <c r="J23" s="45"/>
      <c r="K23" s="45"/>
      <c r="L23" s="45"/>
      <c r="M23" s="45"/>
      <c r="N23" s="45"/>
      <c r="O23" s="45"/>
      <c r="P23" s="45"/>
    </row>
    <row r="24" spans="1:16" ht="15.75" customHeight="1">
      <c r="A24" s="70"/>
      <c r="B24" s="11">
        <v>31</v>
      </c>
      <c r="C24" s="11" t="s">
        <v>11</v>
      </c>
      <c r="D24" s="120">
        <v>2080490.17</v>
      </c>
      <c r="E24" s="62">
        <f>3021752+4450</f>
        <v>3026202</v>
      </c>
      <c r="F24" s="62">
        <f>4719600+5750-164600-20000</f>
        <v>4540750</v>
      </c>
      <c r="G24" s="62">
        <f>4497900+5750</f>
        <v>4503650</v>
      </c>
      <c r="H24" s="62">
        <f>4544700+5750</f>
        <v>4550450</v>
      </c>
    </row>
    <row r="25" spans="1:16">
      <c r="A25" s="71"/>
      <c r="B25" s="72">
        <v>32</v>
      </c>
      <c r="C25" s="72" t="s">
        <v>21</v>
      </c>
      <c r="D25" s="120">
        <v>575306.18000000005</v>
      </c>
      <c r="E25" s="62">
        <f>58100+10923+557054+117209+1727+24000+146+28000+2500</f>
        <v>799659</v>
      </c>
      <c r="F25" s="62">
        <f>86700+11151+541240+186500+1327+9000+146+14400+1200+4000+1000</f>
        <v>856664</v>
      </c>
      <c r="G25" s="62">
        <f>86700+11151+563850+182000+1327+9000+146+14400+1200</f>
        <v>869774</v>
      </c>
      <c r="H25" s="62">
        <f>60400+11151+582300+146000+1327+9000+146+14400+1200</f>
        <v>825924</v>
      </c>
      <c r="J25" s="46"/>
    </row>
    <row r="26" spans="1:16">
      <c r="A26" s="71"/>
      <c r="B26" s="73">
        <v>34</v>
      </c>
      <c r="C26" s="72" t="s">
        <v>33</v>
      </c>
      <c r="D26" s="120">
        <v>2313.9699999999998</v>
      </c>
      <c r="E26" s="62">
        <v>3110</v>
      </c>
      <c r="F26" s="62">
        <v>3150</v>
      </c>
      <c r="G26" s="62">
        <v>3150</v>
      </c>
      <c r="H26" s="62">
        <v>3150</v>
      </c>
      <c r="J26" s="46"/>
    </row>
    <row r="27" spans="1:16">
      <c r="A27" s="74"/>
      <c r="B27" s="73">
        <v>38</v>
      </c>
      <c r="C27" s="18" t="s">
        <v>34</v>
      </c>
      <c r="D27" s="121">
        <v>0</v>
      </c>
      <c r="E27" s="7">
        <v>0</v>
      </c>
      <c r="F27" s="7">
        <v>0</v>
      </c>
      <c r="G27" s="7">
        <v>0</v>
      </c>
      <c r="H27" s="7">
        <v>0</v>
      </c>
      <c r="J27" s="46"/>
    </row>
    <row r="28" spans="1:16" s="23" customFormat="1" ht="25.5">
      <c r="A28" s="10">
        <v>4</v>
      </c>
      <c r="B28" s="10"/>
      <c r="C28" s="17" t="s">
        <v>12</v>
      </c>
      <c r="D28" s="66">
        <f>SUM(D29:D30)</f>
        <v>29428.16</v>
      </c>
      <c r="E28" s="66">
        <f t="shared" ref="E28:H28" si="4">SUM(E29:E30)</f>
        <v>114162</v>
      </c>
      <c r="F28" s="66">
        <f>SUM(F29:F30)</f>
        <v>94400</v>
      </c>
      <c r="G28" s="66">
        <f t="shared" si="4"/>
        <v>85510</v>
      </c>
      <c r="H28" s="66">
        <f t="shared" si="4"/>
        <v>126060</v>
      </c>
      <c r="I28" s="45"/>
      <c r="J28" s="46"/>
      <c r="K28" s="45"/>
    </row>
    <row r="29" spans="1:16" ht="25.5">
      <c r="A29" s="70"/>
      <c r="B29" s="11">
        <v>41</v>
      </c>
      <c r="C29" s="18" t="s">
        <v>46</v>
      </c>
      <c r="D29" s="120">
        <v>1659.04</v>
      </c>
      <c r="E29" s="62">
        <v>0</v>
      </c>
      <c r="F29" s="62">
        <v>0</v>
      </c>
      <c r="G29" s="62">
        <v>0</v>
      </c>
      <c r="H29" s="62">
        <v>0</v>
      </c>
      <c r="J29" s="46"/>
    </row>
    <row r="30" spans="1:16" ht="25.5">
      <c r="A30" s="75"/>
      <c r="B30" s="11">
        <v>42</v>
      </c>
      <c r="C30" s="18" t="s">
        <v>23</v>
      </c>
      <c r="D30" s="120">
        <v>27769.119999999999</v>
      </c>
      <c r="E30" s="62">
        <f>2000+17200+37962+54500+2500</f>
        <v>114162</v>
      </c>
      <c r="F30" s="62">
        <f>15500+65900+6000+7000</f>
        <v>94400</v>
      </c>
      <c r="G30" s="62">
        <f>15500+57010+6000+7000</f>
        <v>85510</v>
      </c>
      <c r="H30" s="62">
        <f>15500+53560+50000+7000</f>
        <v>126060</v>
      </c>
      <c r="J30" s="46"/>
    </row>
  </sheetData>
  <mergeCells count="7">
    <mergeCell ref="A8:H8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"/>
  <sheetViews>
    <sheetView workbookViewId="0">
      <selection activeCell="I20" sqref="I20"/>
    </sheetView>
  </sheetViews>
  <sheetFormatPr defaultRowHeight="15"/>
  <cols>
    <col min="1" max="1" width="7.42578125" bestFit="1" customWidth="1"/>
    <col min="2" max="2" width="13.28515625" customWidth="1"/>
    <col min="3" max="3" width="31.42578125" customWidth="1"/>
    <col min="4" max="8" width="13" customWidth="1"/>
    <col min="9" max="11" width="12.7109375" style="30" bestFit="1" customWidth="1"/>
    <col min="12" max="12" width="13.5703125" customWidth="1"/>
    <col min="13" max="13" width="10.140625" bestFit="1" customWidth="1"/>
    <col min="15" max="15" width="10.140625" bestFit="1" customWidth="1"/>
  </cols>
  <sheetData>
    <row r="1" spans="1:15" s="23" customFormat="1" ht="15.75" customHeight="1">
      <c r="A1" s="167" t="s">
        <v>60</v>
      </c>
      <c r="B1" s="167"/>
      <c r="C1" s="167"/>
      <c r="D1" s="167"/>
      <c r="E1" s="167"/>
      <c r="F1" s="167"/>
      <c r="G1" s="167"/>
      <c r="H1" s="167"/>
      <c r="I1" s="53"/>
      <c r="J1" s="53"/>
    </row>
    <row r="2" spans="1:15" ht="15.75">
      <c r="A2" s="167"/>
      <c r="B2" s="167"/>
      <c r="C2" s="167"/>
      <c r="D2" s="167"/>
      <c r="E2" s="167"/>
      <c r="F2" s="167"/>
      <c r="G2" s="167"/>
      <c r="H2" s="167"/>
    </row>
    <row r="3" spans="1:15" ht="18" customHeight="1">
      <c r="A3" s="191" t="s">
        <v>133</v>
      </c>
      <c r="B3" s="191"/>
      <c r="C3" s="191"/>
      <c r="D3" s="191"/>
      <c r="E3" s="191"/>
      <c r="F3" s="191"/>
      <c r="G3" s="191"/>
      <c r="H3" s="191"/>
    </row>
    <row r="4" spans="1:15" ht="18" customHeight="1">
      <c r="A4" s="191" t="s">
        <v>134</v>
      </c>
      <c r="B4" s="191"/>
      <c r="C4" s="191"/>
      <c r="D4" s="191"/>
      <c r="E4" s="191"/>
      <c r="F4" s="191"/>
      <c r="G4" s="191"/>
      <c r="H4" s="191"/>
    </row>
    <row r="5" spans="1:15" ht="18">
      <c r="A5" s="196"/>
      <c r="B5" s="196"/>
      <c r="C5" s="196"/>
      <c r="D5" s="196"/>
      <c r="E5" s="196"/>
      <c r="F5" s="196"/>
      <c r="G5" s="196"/>
      <c r="H5" s="196"/>
      <c r="L5" s="32"/>
    </row>
    <row r="6" spans="1:15" ht="20.25" customHeight="1">
      <c r="A6" s="167" t="s">
        <v>59</v>
      </c>
      <c r="B6" s="167"/>
      <c r="C6" s="167"/>
      <c r="D6" s="167"/>
      <c r="E6" s="167"/>
      <c r="F6" s="167"/>
      <c r="G6" s="167"/>
      <c r="H6" s="167"/>
      <c r="I6" s="54"/>
      <c r="J6" s="54"/>
      <c r="K6"/>
    </row>
    <row r="7" spans="1:15" ht="15" customHeight="1">
      <c r="A7" s="50"/>
      <c r="B7" s="50"/>
      <c r="C7" s="50"/>
      <c r="D7" s="50"/>
      <c r="E7" s="50"/>
      <c r="F7" s="50"/>
      <c r="G7" s="50"/>
      <c r="H7" s="50"/>
      <c r="I7" s="54"/>
      <c r="J7" s="54"/>
      <c r="K7"/>
    </row>
    <row r="8" spans="1:15" ht="20.25" customHeight="1">
      <c r="A8" s="167" t="s">
        <v>302</v>
      </c>
      <c r="B8" s="167"/>
      <c r="C8" s="167"/>
      <c r="D8" s="167"/>
      <c r="E8" s="167"/>
      <c r="F8" s="167"/>
      <c r="G8" s="167"/>
      <c r="H8" s="167"/>
      <c r="I8" s="54"/>
      <c r="J8" s="54"/>
      <c r="K8"/>
    </row>
    <row r="9" spans="1:15" ht="18" customHeight="1">
      <c r="A9" s="3"/>
      <c r="B9" s="3"/>
      <c r="C9" s="3"/>
      <c r="D9" s="3"/>
      <c r="E9" s="3"/>
      <c r="F9" s="3"/>
      <c r="G9" s="4"/>
      <c r="H9" s="28"/>
      <c r="L9" s="32"/>
    </row>
    <row r="10" spans="1:15" ht="25.5" customHeight="1">
      <c r="A10" s="197" t="s">
        <v>77</v>
      </c>
      <c r="B10" s="198"/>
      <c r="C10" s="199"/>
      <c r="D10" s="25" t="s">
        <v>141</v>
      </c>
      <c r="E10" s="25" t="s">
        <v>140</v>
      </c>
      <c r="F10" s="25" t="s">
        <v>138</v>
      </c>
      <c r="G10" s="25" t="s">
        <v>70</v>
      </c>
      <c r="H10" s="25" t="s">
        <v>139</v>
      </c>
      <c r="L10" s="32"/>
    </row>
    <row r="11" spans="1:15" s="33" customFormat="1" ht="24.75" customHeight="1">
      <c r="A11" s="200" t="s">
        <v>72</v>
      </c>
      <c r="B11" s="201"/>
      <c r="C11" s="202"/>
      <c r="D11" s="68">
        <f>+D12+D13+D14+D15+D16+D17+D18</f>
        <v>2681145.44</v>
      </c>
      <c r="E11" s="68">
        <f>+E12+E13+E14+E15+E16+E17+E18</f>
        <v>3924386</v>
      </c>
      <c r="F11" s="68">
        <f>+F12+F13+F14+F15+F16+F17+F18</f>
        <v>5489964</v>
      </c>
      <c r="G11" s="68">
        <f>+G12+G13+G14+G15+G16+G17+G18</f>
        <v>5462084</v>
      </c>
      <c r="H11" s="68">
        <f>+H12+H13+H14+H15+H16+H17+H18</f>
        <v>5505584</v>
      </c>
      <c r="I11" s="69"/>
      <c r="J11" s="69"/>
      <c r="K11" s="69"/>
      <c r="M11" s="69"/>
      <c r="O11" s="69"/>
    </row>
    <row r="12" spans="1:15" s="33" customFormat="1">
      <c r="A12" s="203" t="s">
        <v>28</v>
      </c>
      <c r="B12" s="204"/>
      <c r="C12" s="18" t="s">
        <v>149</v>
      </c>
      <c r="D12" s="122">
        <v>2095750.71</v>
      </c>
      <c r="E12" s="64">
        <v>3101238</v>
      </c>
      <c r="F12" s="64">
        <f>4806300-164600-20000</f>
        <v>4621700</v>
      </c>
      <c r="G12" s="64">
        <v>4584600</v>
      </c>
      <c r="H12" s="64">
        <v>4605100</v>
      </c>
      <c r="I12" s="88"/>
      <c r="J12" s="88"/>
    </row>
    <row r="13" spans="1:15" s="33" customFormat="1" ht="25.5" customHeight="1">
      <c r="A13" s="203" t="s">
        <v>150</v>
      </c>
      <c r="B13" s="204"/>
      <c r="C13" s="18" t="s">
        <v>151</v>
      </c>
      <c r="D13" s="120">
        <v>9481.9699999999993</v>
      </c>
      <c r="E13" s="62">
        <v>10923</v>
      </c>
      <c r="F13" s="62">
        <v>11151</v>
      </c>
      <c r="G13" s="62">
        <v>11151</v>
      </c>
      <c r="H13" s="62">
        <v>11151</v>
      </c>
      <c r="I13" s="88"/>
      <c r="J13" s="88"/>
    </row>
    <row r="14" spans="1:15" s="33" customFormat="1" ht="25.5" customHeight="1">
      <c r="A14" s="203" t="s">
        <v>152</v>
      </c>
      <c r="B14" s="204"/>
      <c r="C14" s="18" t="s">
        <v>153</v>
      </c>
      <c r="D14" s="122">
        <f>538134.21-25140.91</f>
        <v>512993.3</v>
      </c>
      <c r="E14" s="64">
        <v>576000</v>
      </c>
      <c r="F14" s="64">
        <v>617240</v>
      </c>
      <c r="G14" s="64">
        <v>630960</v>
      </c>
      <c r="H14" s="64">
        <v>645960</v>
      </c>
      <c r="I14" s="88"/>
      <c r="J14" s="88"/>
    </row>
    <row r="15" spans="1:15" s="33" customFormat="1" ht="25.5" customHeight="1">
      <c r="A15" s="203" t="s">
        <v>157</v>
      </c>
      <c r="B15" s="204"/>
      <c r="C15" s="18" t="s">
        <v>156</v>
      </c>
      <c r="D15" s="122">
        <v>34509.89</v>
      </c>
      <c r="E15" s="64">
        <v>177852</v>
      </c>
      <c r="F15" s="64">
        <v>192500</v>
      </c>
      <c r="G15" s="64">
        <v>188000</v>
      </c>
      <c r="H15" s="64">
        <v>196000</v>
      </c>
      <c r="J15" s="88"/>
    </row>
    <row r="16" spans="1:15" s="33" customFormat="1" ht="25.5" customHeight="1">
      <c r="A16" s="203" t="s">
        <v>158</v>
      </c>
      <c r="B16" s="204"/>
      <c r="C16" s="18" t="s">
        <v>159</v>
      </c>
      <c r="D16" s="122">
        <v>18590.8</v>
      </c>
      <c r="E16" s="64">
        <v>31727</v>
      </c>
      <c r="F16" s="64">
        <v>31227</v>
      </c>
      <c r="G16" s="64">
        <v>31227</v>
      </c>
      <c r="H16" s="64">
        <v>31227</v>
      </c>
      <c r="J16" s="88"/>
    </row>
    <row r="17" spans="1:15" s="33" customFormat="1" ht="25.5" customHeight="1">
      <c r="A17" s="203" t="s">
        <v>29</v>
      </c>
      <c r="B17" s="204"/>
      <c r="C17" s="18" t="s">
        <v>162</v>
      </c>
      <c r="D17" s="122">
        <v>8511.4</v>
      </c>
      <c r="E17" s="64">
        <v>26500</v>
      </c>
      <c r="F17" s="64">
        <v>16000</v>
      </c>
      <c r="G17" s="64">
        <v>16000</v>
      </c>
      <c r="H17" s="64">
        <v>16000</v>
      </c>
      <c r="J17" s="88"/>
    </row>
    <row r="18" spans="1:15" s="33" customFormat="1" ht="32.25" customHeight="1">
      <c r="A18" s="205" t="s">
        <v>163</v>
      </c>
      <c r="B18" s="206"/>
      <c r="C18" s="18" t="s">
        <v>164</v>
      </c>
      <c r="D18" s="122">
        <v>1307.3699999999999</v>
      </c>
      <c r="E18" s="64">
        <v>146</v>
      </c>
      <c r="F18" s="64">
        <v>146</v>
      </c>
      <c r="G18" s="64">
        <v>146</v>
      </c>
      <c r="H18" s="64">
        <v>146</v>
      </c>
      <c r="J18" s="88"/>
    </row>
    <row r="20" spans="1:15" ht="25.5" customHeight="1">
      <c r="A20" s="197" t="s">
        <v>77</v>
      </c>
      <c r="B20" s="198"/>
      <c r="C20" s="199"/>
      <c r="D20" s="25" t="s">
        <v>141</v>
      </c>
      <c r="E20" s="25" t="s">
        <v>140</v>
      </c>
      <c r="F20" s="25" t="s">
        <v>138</v>
      </c>
      <c r="G20" s="25" t="s">
        <v>70</v>
      </c>
      <c r="H20" s="25" t="s">
        <v>139</v>
      </c>
    </row>
    <row r="21" spans="1:15" s="33" customFormat="1" ht="24.75" customHeight="1">
      <c r="A21" s="200" t="s">
        <v>71</v>
      </c>
      <c r="B21" s="201"/>
      <c r="C21" s="202"/>
      <c r="D21" s="68">
        <f>+D22+D23+D24+D26+D27+D29+D30</f>
        <v>2687538.48</v>
      </c>
      <c r="E21" s="68">
        <f>+E22+E23+E24+E26+E27+E29+E30</f>
        <v>3943133</v>
      </c>
      <c r="F21" s="68">
        <f>+F22+F23+F24+F26+F27+F29+F30+F25+F28</f>
        <v>5494964</v>
      </c>
      <c r="G21" s="68">
        <f>+G22+G23+G24+G26+G27+G29+G30</f>
        <v>5462084</v>
      </c>
      <c r="H21" s="68">
        <f>+H22+H23+H24+H26+H27+H29+H30</f>
        <v>5505584</v>
      </c>
      <c r="I21" s="69"/>
      <c r="J21" s="69"/>
      <c r="K21" s="69"/>
      <c r="M21" s="69"/>
      <c r="O21" s="69"/>
    </row>
    <row r="22" spans="1:15" s="33" customFormat="1" ht="25.5" customHeight="1">
      <c r="A22" s="203" t="s">
        <v>28</v>
      </c>
      <c r="B22" s="204"/>
      <c r="C22" s="18" t="s">
        <v>149</v>
      </c>
      <c r="D22" s="122">
        <v>2099935.86</v>
      </c>
      <c r="E22" s="64">
        <f>3079852+17200</f>
        <v>3097052</v>
      </c>
      <c r="F22" s="64">
        <f>4806300-164600-20000</f>
        <v>4621700</v>
      </c>
      <c r="G22" s="64">
        <v>4584600</v>
      </c>
      <c r="H22" s="64">
        <v>4605100</v>
      </c>
      <c r="I22" s="88"/>
      <c r="J22" s="88"/>
    </row>
    <row r="23" spans="1:15" s="33" customFormat="1" ht="25.5" customHeight="1">
      <c r="A23" s="203" t="s">
        <v>150</v>
      </c>
      <c r="B23" s="204"/>
      <c r="C23" s="18" t="s">
        <v>151</v>
      </c>
      <c r="D23" s="120">
        <v>9481.9699999999993</v>
      </c>
      <c r="E23" s="62">
        <v>10923</v>
      </c>
      <c r="F23" s="62">
        <v>11151</v>
      </c>
      <c r="G23" s="62">
        <v>11151</v>
      </c>
      <c r="H23" s="62">
        <v>11151</v>
      </c>
      <c r="I23" s="88"/>
      <c r="J23" s="88"/>
    </row>
    <row r="24" spans="1:15" s="33" customFormat="1" ht="25.5" customHeight="1">
      <c r="A24" s="203" t="s">
        <v>152</v>
      </c>
      <c r="B24" s="204"/>
      <c r="C24" s="18" t="s">
        <v>153</v>
      </c>
      <c r="D24" s="122">
        <v>509058.23</v>
      </c>
      <c r="E24" s="64">
        <f>560164+6950+37962</f>
        <v>605076</v>
      </c>
      <c r="F24" s="64">
        <f>544390+6950+65900</f>
        <v>617240</v>
      </c>
      <c r="G24" s="64">
        <f>567000+6950+57010</f>
        <v>630960</v>
      </c>
      <c r="H24" s="64">
        <f>585450+6950+53560</f>
        <v>645960</v>
      </c>
      <c r="I24" s="88"/>
    </row>
    <row r="25" spans="1:15" s="33" customFormat="1" ht="25.5" customHeight="1">
      <c r="A25" s="203" t="s">
        <v>154</v>
      </c>
      <c r="B25" s="204"/>
      <c r="C25" s="18" t="s">
        <v>155</v>
      </c>
      <c r="D25" s="122">
        <v>0</v>
      </c>
      <c r="E25" s="64">
        <v>0</v>
      </c>
      <c r="F25" s="64">
        <v>4000</v>
      </c>
      <c r="G25" s="64">
        <v>0</v>
      </c>
      <c r="H25" s="64">
        <v>0</v>
      </c>
      <c r="I25" s="88"/>
    </row>
    <row r="26" spans="1:15" s="33" customFormat="1" ht="25.5" customHeight="1">
      <c r="A26" s="203" t="s">
        <v>157</v>
      </c>
      <c r="B26" s="204"/>
      <c r="C26" s="18" t="s">
        <v>156</v>
      </c>
      <c r="D26" s="122">
        <v>40652.85</v>
      </c>
      <c r="E26" s="64">
        <f>117209+54500</f>
        <v>171709</v>
      </c>
      <c r="F26" s="64">
        <f>186500+6000</f>
        <v>192500</v>
      </c>
      <c r="G26" s="64">
        <f>182000+6000</f>
        <v>188000</v>
      </c>
      <c r="H26" s="64">
        <f>146000+50000</f>
        <v>196000</v>
      </c>
    </row>
    <row r="27" spans="1:15" s="33" customFormat="1" ht="25.5" customHeight="1">
      <c r="A27" s="203" t="s">
        <v>158</v>
      </c>
      <c r="B27" s="204"/>
      <c r="C27" s="18" t="s">
        <v>159</v>
      </c>
      <c r="D27" s="122">
        <v>18590.8</v>
      </c>
      <c r="E27" s="64">
        <f>1727+30000</f>
        <v>31727</v>
      </c>
      <c r="F27" s="64">
        <f>1327+29900</f>
        <v>31227</v>
      </c>
      <c r="G27" s="64">
        <f>1327+29900</f>
        <v>31227</v>
      </c>
      <c r="H27" s="64">
        <f>1327+29900</f>
        <v>31227</v>
      </c>
    </row>
    <row r="28" spans="1:15" s="33" customFormat="1" ht="25.5" customHeight="1">
      <c r="A28" s="203" t="s">
        <v>161</v>
      </c>
      <c r="B28" s="204"/>
      <c r="C28" s="18" t="s">
        <v>160</v>
      </c>
      <c r="D28" s="122">
        <v>0</v>
      </c>
      <c r="E28" s="64">
        <v>0</v>
      </c>
      <c r="F28" s="64">
        <v>1000</v>
      </c>
      <c r="G28" s="64">
        <v>0</v>
      </c>
      <c r="H28" s="64">
        <v>0</v>
      </c>
    </row>
    <row r="29" spans="1:15" s="33" customFormat="1" ht="25.5" customHeight="1">
      <c r="A29" s="203" t="s">
        <v>29</v>
      </c>
      <c r="B29" s="204"/>
      <c r="C29" s="18" t="s">
        <v>162</v>
      </c>
      <c r="D29" s="122">
        <v>8511.4</v>
      </c>
      <c r="E29" s="64">
        <f>24000+2500</f>
        <v>26500</v>
      </c>
      <c r="F29" s="64">
        <f>9000+7000</f>
        <v>16000</v>
      </c>
      <c r="G29" s="64">
        <f>9000+7000</f>
        <v>16000</v>
      </c>
      <c r="H29" s="64">
        <f>9000+7000</f>
        <v>16000</v>
      </c>
    </row>
    <row r="30" spans="1:15" s="33" customFormat="1" ht="30" customHeight="1">
      <c r="A30" s="205" t="s">
        <v>163</v>
      </c>
      <c r="B30" s="206"/>
      <c r="C30" s="18" t="s">
        <v>164</v>
      </c>
      <c r="D30" s="122">
        <v>1307.3699999999999</v>
      </c>
      <c r="E30" s="64">
        <v>146</v>
      </c>
      <c r="F30" s="64">
        <v>146</v>
      </c>
      <c r="G30" s="64">
        <v>146</v>
      </c>
      <c r="H30" s="64">
        <v>146</v>
      </c>
    </row>
  </sheetData>
  <mergeCells count="27">
    <mergeCell ref="A29:B29"/>
    <mergeCell ref="A30:B30"/>
    <mergeCell ref="A21:C21"/>
    <mergeCell ref="A22:B22"/>
    <mergeCell ref="A23:B23"/>
    <mergeCell ref="A25:B25"/>
    <mergeCell ref="A28:B28"/>
    <mergeCell ref="A24:B24"/>
    <mergeCell ref="A26:B26"/>
    <mergeCell ref="A27:B27"/>
    <mergeCell ref="A6:H6"/>
    <mergeCell ref="A8:H8"/>
    <mergeCell ref="A1:H1"/>
    <mergeCell ref="A3:H3"/>
    <mergeCell ref="A5:H5"/>
    <mergeCell ref="A2:H2"/>
    <mergeCell ref="A4:H4"/>
    <mergeCell ref="A10:C10"/>
    <mergeCell ref="A20:C20"/>
    <mergeCell ref="A11:C11"/>
    <mergeCell ref="A12:B12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workbookViewId="0">
      <selection activeCell="A7" sqref="A7"/>
    </sheetView>
  </sheetViews>
  <sheetFormatPr defaultRowHeight="15"/>
  <cols>
    <col min="1" max="1" width="37.7109375" customWidth="1"/>
    <col min="2" max="6" width="25.28515625" customWidth="1"/>
  </cols>
  <sheetData>
    <row r="1" spans="1:9" ht="15.75">
      <c r="A1" s="167" t="s">
        <v>61</v>
      </c>
      <c r="B1" s="167"/>
      <c r="C1" s="167"/>
      <c r="D1" s="167"/>
      <c r="E1" s="167"/>
      <c r="F1" s="167"/>
      <c r="G1" s="53"/>
      <c r="H1" s="53"/>
      <c r="I1" s="53"/>
    </row>
    <row r="3" spans="1:9" ht="15.75">
      <c r="A3" s="191" t="s">
        <v>135</v>
      </c>
      <c r="B3" s="191"/>
      <c r="C3" s="191"/>
      <c r="D3" s="191"/>
      <c r="E3" s="191"/>
      <c r="F3" s="191"/>
    </row>
    <row r="5" spans="1:9" ht="18">
      <c r="A5" s="3"/>
      <c r="B5" s="3"/>
      <c r="C5" s="3"/>
      <c r="D5" s="3"/>
      <c r="E5" s="4"/>
      <c r="F5" s="4"/>
    </row>
    <row r="6" spans="1:9" ht="15.75" customHeight="1">
      <c r="A6" s="167" t="s">
        <v>303</v>
      </c>
      <c r="B6" s="167"/>
      <c r="C6" s="167"/>
      <c r="D6" s="167"/>
      <c r="E6" s="167"/>
      <c r="F6" s="167"/>
    </row>
    <row r="7" spans="1:9" ht="18">
      <c r="A7" s="3"/>
      <c r="B7" s="3"/>
      <c r="C7" s="3"/>
      <c r="D7" s="3"/>
      <c r="E7" s="4"/>
      <c r="F7" s="4"/>
    </row>
    <row r="8" spans="1:9" ht="25.5">
      <c r="A8" s="16" t="s">
        <v>13</v>
      </c>
      <c r="B8" s="15" t="s">
        <v>141</v>
      </c>
      <c r="C8" s="16" t="s">
        <v>140</v>
      </c>
      <c r="D8" s="16" t="s">
        <v>138</v>
      </c>
      <c r="E8" s="16" t="s">
        <v>70</v>
      </c>
      <c r="F8" s="16" t="s">
        <v>139</v>
      </c>
    </row>
    <row r="9" spans="1:9" ht="15.75" customHeight="1">
      <c r="A9" s="9" t="s">
        <v>14</v>
      </c>
      <c r="B9" s="7">
        <f>+B10</f>
        <v>2687538.48</v>
      </c>
      <c r="C9" s="7">
        <f t="shared" ref="C9:F11" si="0">+C10</f>
        <v>3943133</v>
      </c>
      <c r="D9" s="7">
        <f t="shared" si="0"/>
        <v>5494964</v>
      </c>
      <c r="E9" s="7">
        <f t="shared" si="0"/>
        <v>5462084</v>
      </c>
      <c r="F9" s="7">
        <f t="shared" si="0"/>
        <v>5505584</v>
      </c>
    </row>
    <row r="10" spans="1:9" ht="15.75" customHeight="1">
      <c r="A10" s="9" t="s">
        <v>41</v>
      </c>
      <c r="B10" s="7">
        <f>+B11</f>
        <v>2687538.48</v>
      </c>
      <c r="C10" s="7">
        <f t="shared" si="0"/>
        <v>3943133</v>
      </c>
      <c r="D10" s="7">
        <f t="shared" si="0"/>
        <v>5494964</v>
      </c>
      <c r="E10" s="7">
        <f t="shared" si="0"/>
        <v>5462084</v>
      </c>
      <c r="F10" s="7">
        <f t="shared" si="0"/>
        <v>5505584</v>
      </c>
    </row>
    <row r="11" spans="1:9" ht="15.75" customHeight="1">
      <c r="A11" s="11" t="s">
        <v>40</v>
      </c>
      <c r="B11" s="7">
        <f>+B12</f>
        <v>2687538.48</v>
      </c>
      <c r="C11" s="7">
        <f t="shared" si="0"/>
        <v>3943133</v>
      </c>
      <c r="D11" s="7">
        <f t="shared" si="0"/>
        <v>5494964</v>
      </c>
      <c r="E11" s="7">
        <f t="shared" si="0"/>
        <v>5462084</v>
      </c>
      <c r="F11" s="7">
        <f t="shared" si="0"/>
        <v>5505584</v>
      </c>
    </row>
    <row r="12" spans="1:9" ht="15.75" customHeight="1">
      <c r="A12" s="11" t="s">
        <v>42</v>
      </c>
      <c r="B12" s="121">
        <v>2687538.48</v>
      </c>
      <c r="C12" s="8">
        <v>3943133</v>
      </c>
      <c r="D12" s="8">
        <f>5679564-164600-20000</f>
        <v>5494964</v>
      </c>
      <c r="E12" s="8">
        <v>5462084</v>
      </c>
      <c r="F12" s="8">
        <v>5505584</v>
      </c>
    </row>
  </sheetData>
  <mergeCells count="3">
    <mergeCell ref="A1:F1"/>
    <mergeCell ref="A6:F6"/>
    <mergeCell ref="A3:F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workbookViewId="0">
      <selection activeCell="A3" sqref="A3:H3"/>
    </sheetView>
  </sheetViews>
  <sheetFormatPr defaultRowHeight="15"/>
  <cols>
    <col min="1" max="1" width="7.42578125" bestFit="1" customWidth="1"/>
    <col min="2" max="2" width="8.5703125" customWidth="1"/>
    <col min="3" max="3" width="25.85546875" customWidth="1"/>
    <col min="4" max="8" width="14.7109375" customWidth="1"/>
  </cols>
  <sheetData>
    <row r="1" spans="1:8" ht="15.75" customHeight="1">
      <c r="A1" s="167" t="s">
        <v>62</v>
      </c>
      <c r="B1" s="167"/>
      <c r="C1" s="167"/>
      <c r="D1" s="167"/>
      <c r="E1" s="167"/>
      <c r="F1" s="167"/>
      <c r="G1" s="167"/>
      <c r="H1" s="167"/>
    </row>
    <row r="2" spans="1:8" ht="15.75" customHeight="1">
      <c r="A2" s="50"/>
      <c r="B2" s="50"/>
      <c r="C2" s="50"/>
      <c r="D2" s="50"/>
      <c r="E2" s="50"/>
      <c r="F2" s="50"/>
      <c r="G2" s="50"/>
      <c r="H2" s="50"/>
    </row>
    <row r="3" spans="1:8" ht="39.75" customHeight="1">
      <c r="A3" s="207" t="s">
        <v>136</v>
      </c>
      <c r="B3" s="191"/>
      <c r="C3" s="191"/>
      <c r="D3" s="191"/>
      <c r="E3" s="191"/>
      <c r="F3" s="191"/>
      <c r="G3" s="191"/>
      <c r="H3" s="191"/>
    </row>
    <row r="5" spans="1:8" ht="15.75">
      <c r="A5" s="167" t="s">
        <v>304</v>
      </c>
      <c r="B5" s="168"/>
      <c r="C5" s="168"/>
      <c r="D5" s="168"/>
      <c r="E5" s="168"/>
      <c r="F5" s="168"/>
      <c r="G5" s="168"/>
      <c r="H5" s="168"/>
    </row>
    <row r="6" spans="1:8" ht="18" customHeight="1">
      <c r="A6" s="3"/>
      <c r="B6" s="3"/>
      <c r="C6" s="3"/>
      <c r="D6" s="3"/>
      <c r="E6" s="3"/>
      <c r="F6" s="3"/>
      <c r="G6" s="3"/>
      <c r="H6" s="3"/>
    </row>
    <row r="7" spans="1:8" ht="18" customHeight="1">
      <c r="A7" s="167" t="s">
        <v>275</v>
      </c>
      <c r="B7" s="168"/>
      <c r="C7" s="168"/>
      <c r="D7" s="168"/>
      <c r="E7" s="168"/>
      <c r="F7" s="168"/>
      <c r="G7" s="168"/>
      <c r="H7" s="168"/>
    </row>
    <row r="8" spans="1:8" ht="18">
      <c r="A8" s="3"/>
      <c r="B8" s="3"/>
      <c r="C8" s="3"/>
      <c r="D8" s="3"/>
      <c r="E8" s="3"/>
      <c r="F8" s="3"/>
      <c r="G8" s="4"/>
      <c r="H8" s="4"/>
    </row>
    <row r="9" spans="1:8" ht="33" customHeight="1">
      <c r="A9" s="16" t="s">
        <v>5</v>
      </c>
      <c r="B9" s="15" t="s">
        <v>6</v>
      </c>
      <c r="C9" s="15" t="s">
        <v>24</v>
      </c>
      <c r="D9" s="15" t="s">
        <v>141</v>
      </c>
      <c r="E9" s="16" t="s">
        <v>140</v>
      </c>
      <c r="F9" s="16" t="s">
        <v>138</v>
      </c>
      <c r="G9" s="16" t="s">
        <v>70</v>
      </c>
      <c r="H9" s="16" t="s">
        <v>139</v>
      </c>
    </row>
    <row r="10" spans="1:8" s="23" customFormat="1" ht="25.5">
      <c r="A10" s="9">
        <v>8</v>
      </c>
      <c r="B10" s="9"/>
      <c r="C10" s="9" t="s">
        <v>15</v>
      </c>
      <c r="D10" s="27">
        <f>+D11</f>
        <v>0</v>
      </c>
      <c r="E10" s="27">
        <f t="shared" ref="E10:H10" si="0">+E11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</row>
    <row r="11" spans="1:8" s="23" customFormat="1">
      <c r="A11" s="9"/>
      <c r="B11" s="89">
        <v>84</v>
      </c>
      <c r="C11" s="89" t="s">
        <v>78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1:8" s="23" customFormat="1" ht="25.5">
      <c r="A12" s="10">
        <v>5</v>
      </c>
      <c r="B12" s="10"/>
      <c r="C12" s="17" t="s">
        <v>16</v>
      </c>
      <c r="D12" s="27">
        <f>+D13</f>
        <v>0</v>
      </c>
      <c r="E12" s="27">
        <f t="shared" ref="E12:H12" si="1">+E13</f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</row>
    <row r="13" spans="1:8" s="23" customFormat="1" ht="42.75">
      <c r="A13" s="10"/>
      <c r="B13" s="89">
        <v>54</v>
      </c>
      <c r="C13" s="90" t="s">
        <v>79</v>
      </c>
      <c r="D13" s="27">
        <f>SUM(D24:D30)</f>
        <v>0</v>
      </c>
      <c r="E13" s="27">
        <f t="shared" ref="E13:H13" si="2">SUM(E24:E30)</f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</row>
    <row r="14" spans="1:8" s="23" customFormat="1">
      <c r="A14" s="135"/>
      <c r="B14" s="136"/>
      <c r="C14" s="137"/>
      <c r="D14" s="138"/>
      <c r="E14" s="138"/>
      <c r="F14" s="138"/>
      <c r="G14" s="138"/>
      <c r="H14" s="138"/>
    </row>
    <row r="15" spans="1:8" s="23" customFormat="1">
      <c r="A15" s="139"/>
      <c r="B15" s="140"/>
      <c r="C15" s="141"/>
      <c r="D15" s="142"/>
      <c r="E15" s="142"/>
      <c r="F15" s="142"/>
      <c r="G15" s="142"/>
      <c r="H15" s="142"/>
    </row>
    <row r="16" spans="1:8" ht="18" customHeight="1">
      <c r="A16" s="167" t="s">
        <v>276</v>
      </c>
      <c r="B16" s="168"/>
      <c r="C16" s="168"/>
      <c r="D16" s="168"/>
      <c r="E16" s="168"/>
      <c r="F16" s="168"/>
      <c r="G16" s="168"/>
      <c r="H16" s="168"/>
    </row>
    <row r="17" spans="1:8" s="23" customFormat="1">
      <c r="A17" s="139"/>
      <c r="B17" s="140"/>
      <c r="C17" s="141"/>
      <c r="D17" s="142"/>
      <c r="E17" s="142"/>
      <c r="F17" s="142"/>
      <c r="G17" s="142"/>
      <c r="H17" s="142"/>
    </row>
    <row r="18" spans="1:8" ht="33" customHeight="1">
      <c r="A18" s="16" t="s">
        <v>277</v>
      </c>
      <c r="B18" s="16" t="s">
        <v>277</v>
      </c>
      <c r="C18" s="15" t="s">
        <v>24</v>
      </c>
      <c r="D18" s="15" t="s">
        <v>141</v>
      </c>
      <c r="E18" s="16" t="s">
        <v>140</v>
      </c>
      <c r="F18" s="16" t="s">
        <v>138</v>
      </c>
      <c r="G18" s="16" t="s">
        <v>70</v>
      </c>
      <c r="H18" s="16" t="s">
        <v>139</v>
      </c>
    </row>
    <row r="19" spans="1:8" s="33" customFormat="1" ht="18.75" customHeight="1">
      <c r="A19" s="144"/>
      <c r="B19" s="145"/>
      <c r="C19" s="143" t="s">
        <v>281</v>
      </c>
      <c r="D19" s="8">
        <v>0</v>
      </c>
      <c r="E19" s="7">
        <v>0</v>
      </c>
      <c r="F19" s="7">
        <v>0</v>
      </c>
      <c r="G19" s="7">
        <v>0</v>
      </c>
      <c r="H19" s="7">
        <v>0</v>
      </c>
    </row>
    <row r="20" spans="1:8" s="33" customFormat="1" ht="29.25" customHeight="1">
      <c r="A20" s="144">
        <v>8</v>
      </c>
      <c r="B20" s="143"/>
      <c r="C20" s="143" t="s">
        <v>278</v>
      </c>
      <c r="D20" s="8">
        <v>0</v>
      </c>
      <c r="E20" s="7">
        <v>0</v>
      </c>
      <c r="F20" s="7">
        <v>0</v>
      </c>
      <c r="G20" s="7">
        <v>0</v>
      </c>
      <c r="H20" s="7">
        <v>0</v>
      </c>
    </row>
    <row r="21" spans="1:8" s="33" customFormat="1" ht="33" customHeight="1">
      <c r="A21" s="144"/>
      <c r="B21" s="146" t="s">
        <v>279</v>
      </c>
      <c r="C21" s="147" t="s">
        <v>280</v>
      </c>
      <c r="D21" s="8">
        <v>0</v>
      </c>
      <c r="E21" s="7">
        <v>0</v>
      </c>
      <c r="F21" s="7">
        <v>0</v>
      </c>
      <c r="G21" s="7">
        <v>0</v>
      </c>
      <c r="H21" s="7">
        <v>0</v>
      </c>
    </row>
    <row r="22" spans="1:8" s="33" customFormat="1" ht="33" customHeight="1">
      <c r="A22" s="144"/>
      <c r="B22" s="146"/>
      <c r="C22" s="143" t="s">
        <v>282</v>
      </c>
      <c r="D22" s="8">
        <v>0</v>
      </c>
      <c r="E22" s="7">
        <v>0</v>
      </c>
      <c r="F22" s="7">
        <v>0</v>
      </c>
      <c r="G22" s="7">
        <v>0</v>
      </c>
      <c r="H22" s="7">
        <v>0</v>
      </c>
    </row>
    <row r="23" spans="1:8" s="33" customFormat="1" ht="33" customHeight="1">
      <c r="A23" s="144"/>
      <c r="B23" s="146"/>
      <c r="C23" s="17" t="s">
        <v>16</v>
      </c>
      <c r="D23" s="8">
        <v>0</v>
      </c>
      <c r="E23" s="7">
        <v>0</v>
      </c>
      <c r="F23" s="7">
        <v>0</v>
      </c>
      <c r="G23" s="7">
        <v>0</v>
      </c>
      <c r="H23" s="7">
        <v>0</v>
      </c>
    </row>
    <row r="24" spans="1:8">
      <c r="A24" s="9"/>
      <c r="B24" s="9" t="s">
        <v>178</v>
      </c>
      <c r="C24" s="39" t="s">
        <v>179</v>
      </c>
      <c r="D24" s="8">
        <v>0</v>
      </c>
      <c r="E24" s="7">
        <v>0</v>
      </c>
      <c r="F24" s="7">
        <v>0</v>
      </c>
      <c r="G24" s="7">
        <v>0</v>
      </c>
      <c r="H24" s="7">
        <v>0</v>
      </c>
    </row>
    <row r="25" spans="1:8">
      <c r="A25" s="9"/>
      <c r="B25" s="9" t="s">
        <v>283</v>
      </c>
      <c r="C25" s="37" t="s">
        <v>284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ht="25.5">
      <c r="A26" s="9"/>
      <c r="B26" s="9" t="s">
        <v>175</v>
      </c>
      <c r="C26" s="37" t="s">
        <v>285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>
      <c r="A27" s="9"/>
      <c r="B27" s="9" t="s">
        <v>180</v>
      </c>
      <c r="C27" s="37" t="s">
        <v>181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>
      <c r="A28" s="9"/>
      <c r="B28" s="9" t="s">
        <v>176</v>
      </c>
      <c r="C28" s="37" t="s">
        <v>177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>
      <c r="A29" s="9"/>
      <c r="B29" s="9" t="s">
        <v>286</v>
      </c>
      <c r="C29" s="37" t="s">
        <v>287</v>
      </c>
      <c r="D29" s="7"/>
      <c r="E29" s="7"/>
      <c r="F29" s="7"/>
      <c r="G29" s="7"/>
      <c r="H29" s="7"/>
    </row>
    <row r="30" spans="1:8" ht="38.25">
      <c r="A30" s="9"/>
      <c r="B30" s="9" t="s">
        <v>288</v>
      </c>
      <c r="C30" s="37" t="s">
        <v>289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</sheetData>
  <mergeCells count="5">
    <mergeCell ref="A1:H1"/>
    <mergeCell ref="A3:H3"/>
    <mergeCell ref="A16:H16"/>
    <mergeCell ref="A5:H5"/>
    <mergeCell ref="A7:H7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8ABE-EE9E-441F-B691-CAD66D2B3BC5}">
  <dimension ref="A1:H19"/>
  <sheetViews>
    <sheetView workbookViewId="0">
      <selection activeCell="B13" sqref="B13:C14"/>
    </sheetView>
  </sheetViews>
  <sheetFormatPr defaultRowHeight="15"/>
  <cols>
    <col min="1" max="1" width="5.28515625" customWidth="1"/>
    <col min="2" max="2" width="8.5703125" customWidth="1"/>
    <col min="3" max="3" width="20.5703125" customWidth="1"/>
    <col min="4" max="4" width="10.85546875" customWidth="1"/>
    <col min="5" max="6" width="8.28515625" customWidth="1"/>
    <col min="7" max="7" width="10.28515625" customWidth="1"/>
    <col min="8" max="8" width="10.5703125" customWidth="1"/>
  </cols>
  <sheetData>
    <row r="1" spans="1:8" ht="15.75" customHeight="1">
      <c r="A1" s="167" t="s">
        <v>69</v>
      </c>
      <c r="B1" s="167"/>
      <c r="C1" s="167"/>
      <c r="D1" s="167"/>
      <c r="E1" s="167"/>
      <c r="F1" s="167"/>
      <c r="G1" s="167"/>
      <c r="H1" s="167"/>
    </row>
    <row r="3" spans="1:8" ht="15.75">
      <c r="A3" s="191" t="s">
        <v>307</v>
      </c>
      <c r="B3" s="191"/>
      <c r="C3" s="191"/>
      <c r="D3" s="191"/>
      <c r="E3" s="191"/>
      <c r="F3" s="191"/>
      <c r="G3" s="191"/>
      <c r="H3" s="191"/>
    </row>
    <row r="4" spans="1:8" ht="15.75">
      <c r="A4" s="191" t="s">
        <v>308</v>
      </c>
      <c r="B4" s="191"/>
      <c r="C4" s="191"/>
      <c r="D4" s="191"/>
      <c r="E4" s="191"/>
      <c r="F4" s="191"/>
      <c r="G4" s="191"/>
      <c r="H4" s="191"/>
    </row>
    <row r="5" spans="1:8">
      <c r="A5" s="55"/>
      <c r="B5" s="55"/>
      <c r="C5" s="55"/>
      <c r="D5" s="55"/>
      <c r="E5" s="55"/>
      <c r="F5" s="55"/>
      <c r="G5" s="55"/>
      <c r="H5" s="55"/>
    </row>
    <row r="7" spans="1:8" ht="18" customHeight="1">
      <c r="A7" s="208" t="s">
        <v>68</v>
      </c>
      <c r="B7" s="209"/>
      <c r="C7" s="209"/>
      <c r="D7" s="209"/>
      <c r="E7" s="209"/>
      <c r="F7" s="209"/>
      <c r="G7" s="209"/>
      <c r="H7" s="209"/>
    </row>
    <row r="9" spans="1:8" s="155" customFormat="1" ht="38.25" customHeight="1">
      <c r="A9" s="210" t="s">
        <v>63</v>
      </c>
      <c r="B9" s="211"/>
      <c r="C9" s="212"/>
      <c r="D9" s="153" t="s">
        <v>142</v>
      </c>
      <c r="E9" s="153" t="s">
        <v>143</v>
      </c>
      <c r="F9" s="153" t="s">
        <v>144</v>
      </c>
      <c r="G9" s="153" t="s">
        <v>70</v>
      </c>
      <c r="H9" s="154" t="s">
        <v>139</v>
      </c>
    </row>
    <row r="10" spans="1:8" s="155" customFormat="1" ht="31.5" customHeight="1">
      <c r="A10" s="213" t="s">
        <v>64</v>
      </c>
      <c r="B10" s="214"/>
      <c r="C10" s="215"/>
      <c r="D10" s="156">
        <f>+D11</f>
        <v>25140.91</v>
      </c>
      <c r="E10" s="157">
        <f t="shared" ref="E10:H11" si="0">+E11</f>
        <v>18747</v>
      </c>
      <c r="F10" s="157">
        <f t="shared" si="0"/>
        <v>5000</v>
      </c>
      <c r="G10" s="157">
        <f t="shared" si="0"/>
        <v>0</v>
      </c>
      <c r="H10" s="157">
        <f t="shared" si="0"/>
        <v>0</v>
      </c>
    </row>
    <row r="11" spans="1:8" s="161" customFormat="1" ht="15.75" customHeight="1">
      <c r="A11" s="158">
        <v>9</v>
      </c>
      <c r="B11" s="216" t="s">
        <v>65</v>
      </c>
      <c r="C11" s="217"/>
      <c r="D11" s="159">
        <f>+D12</f>
        <v>25140.91</v>
      </c>
      <c r="E11" s="160">
        <f t="shared" si="0"/>
        <v>18747</v>
      </c>
      <c r="F11" s="160">
        <f t="shared" si="0"/>
        <v>5000</v>
      </c>
      <c r="G11" s="160">
        <f t="shared" si="0"/>
        <v>0</v>
      </c>
      <c r="H11" s="160">
        <f t="shared" si="0"/>
        <v>0</v>
      </c>
    </row>
    <row r="12" spans="1:8" s="161" customFormat="1" ht="15.75" customHeight="1">
      <c r="A12" s="158">
        <v>92</v>
      </c>
      <c r="B12" s="216" t="s">
        <v>43</v>
      </c>
      <c r="C12" s="217"/>
      <c r="D12" s="159">
        <f>+D13-D16</f>
        <v>25140.91</v>
      </c>
      <c r="E12" s="160">
        <f t="shared" ref="E12:H12" si="1">+E13-E16</f>
        <v>18747</v>
      </c>
      <c r="F12" s="160">
        <f t="shared" si="1"/>
        <v>5000</v>
      </c>
      <c r="G12" s="160">
        <f t="shared" si="1"/>
        <v>0</v>
      </c>
      <c r="H12" s="160">
        <f t="shared" si="1"/>
        <v>0</v>
      </c>
    </row>
    <row r="13" spans="1:8" s="161" customFormat="1" ht="15.75" customHeight="1">
      <c r="A13" s="158">
        <v>9221</v>
      </c>
      <c r="B13" s="216" t="s">
        <v>66</v>
      </c>
      <c r="C13" s="217"/>
      <c r="D13" s="159">
        <f>SUM(D14:D15)</f>
        <v>25140.91</v>
      </c>
      <c r="E13" s="160">
        <f>SUM(E14:E15)</f>
        <v>29076</v>
      </c>
      <c r="F13" s="160">
        <f t="shared" ref="F13:H13" si="2">SUM(F14:F15)</f>
        <v>5000</v>
      </c>
      <c r="G13" s="160">
        <f t="shared" si="2"/>
        <v>0</v>
      </c>
      <c r="H13" s="160">
        <f t="shared" si="2"/>
        <v>0</v>
      </c>
    </row>
    <row r="14" spans="1:8" s="161" customFormat="1" ht="15.75" customHeight="1">
      <c r="A14" s="158" t="s">
        <v>175</v>
      </c>
      <c r="B14" s="216" t="s">
        <v>174</v>
      </c>
      <c r="C14" s="217"/>
      <c r="D14" s="162">
        <v>25140.91</v>
      </c>
      <c r="E14" s="160">
        <v>29076</v>
      </c>
      <c r="F14" s="163">
        <v>4000</v>
      </c>
      <c r="G14" s="163">
        <v>0</v>
      </c>
      <c r="H14" s="163">
        <v>0</v>
      </c>
    </row>
    <row r="15" spans="1:8" s="161" customFormat="1" ht="12">
      <c r="A15" s="158" t="s">
        <v>176</v>
      </c>
      <c r="B15" s="216" t="s">
        <v>177</v>
      </c>
      <c r="C15" s="217"/>
      <c r="D15" s="160">
        <v>0</v>
      </c>
      <c r="E15" s="160">
        <v>0</v>
      </c>
      <c r="F15" s="163">
        <v>1000</v>
      </c>
      <c r="G15" s="163">
        <v>0</v>
      </c>
      <c r="H15" s="163">
        <v>0</v>
      </c>
    </row>
    <row r="16" spans="1:8" s="161" customFormat="1" ht="15.75" customHeight="1">
      <c r="A16" s="158">
        <v>9222</v>
      </c>
      <c r="B16" s="216" t="s">
        <v>67</v>
      </c>
      <c r="C16" s="217"/>
      <c r="D16" s="160">
        <f>SUM(D17:D18)</f>
        <v>0</v>
      </c>
      <c r="E16" s="160">
        <f t="shared" ref="E16:H16" si="3">SUM(E17:E18)</f>
        <v>10329</v>
      </c>
      <c r="F16" s="160">
        <f t="shared" si="3"/>
        <v>0</v>
      </c>
      <c r="G16" s="160">
        <f t="shared" si="3"/>
        <v>0</v>
      </c>
      <c r="H16" s="160">
        <f t="shared" si="3"/>
        <v>0</v>
      </c>
    </row>
    <row r="17" spans="1:8" s="161" customFormat="1" ht="15.75" customHeight="1">
      <c r="A17" s="158" t="s">
        <v>178</v>
      </c>
      <c r="B17" s="216" t="s">
        <v>179</v>
      </c>
      <c r="C17" s="217"/>
      <c r="D17" s="160">
        <v>0</v>
      </c>
      <c r="E17" s="160">
        <v>6143</v>
      </c>
      <c r="F17" s="160">
        <v>0</v>
      </c>
      <c r="G17" s="160">
        <v>0</v>
      </c>
      <c r="H17" s="160">
        <v>0</v>
      </c>
    </row>
    <row r="18" spans="1:8" s="161" customFormat="1" ht="15.75" customHeight="1">
      <c r="A18" s="158" t="s">
        <v>180</v>
      </c>
      <c r="B18" s="216" t="s">
        <v>181</v>
      </c>
      <c r="C18" s="217"/>
      <c r="D18" s="160">
        <v>0</v>
      </c>
      <c r="E18" s="160">
        <v>4186</v>
      </c>
      <c r="F18" s="160">
        <v>0</v>
      </c>
      <c r="G18" s="160">
        <v>0</v>
      </c>
      <c r="H18" s="160">
        <v>0</v>
      </c>
    </row>
    <row r="19" spans="1:8" s="155" customFormat="1" ht="42" customHeight="1">
      <c r="A19" s="218" t="s">
        <v>309</v>
      </c>
      <c r="B19" s="219"/>
      <c r="C19" s="220"/>
      <c r="D19" s="156">
        <f>D13-D16</f>
        <v>25140.91</v>
      </c>
      <c r="E19" s="157">
        <f>E13-E16</f>
        <v>18747</v>
      </c>
      <c r="F19" s="157">
        <f t="shared" ref="F19:H19" si="4">F13-F16</f>
        <v>5000</v>
      </c>
      <c r="G19" s="157">
        <f t="shared" si="4"/>
        <v>0</v>
      </c>
      <c r="H19" s="157">
        <f t="shared" si="4"/>
        <v>0</v>
      </c>
    </row>
  </sheetData>
  <mergeCells count="15">
    <mergeCell ref="B18:C18"/>
    <mergeCell ref="A19:C19"/>
    <mergeCell ref="A4:H4"/>
    <mergeCell ref="B12:C12"/>
    <mergeCell ref="B13:C13"/>
    <mergeCell ref="B14:C14"/>
    <mergeCell ref="B15:C15"/>
    <mergeCell ref="B16:C16"/>
    <mergeCell ref="B17:C17"/>
    <mergeCell ref="B11:C11"/>
    <mergeCell ref="A1:H1"/>
    <mergeCell ref="A3:H3"/>
    <mergeCell ref="A7:H7"/>
    <mergeCell ref="A9:C9"/>
    <mergeCell ref="A10:C1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9"/>
  <sheetViews>
    <sheetView workbookViewId="0">
      <selection activeCell="G51" sqref="G51"/>
    </sheetView>
  </sheetViews>
  <sheetFormatPr defaultRowHeight="15"/>
  <cols>
    <col min="1" max="1" width="2.7109375" customWidth="1"/>
    <col min="2" max="2" width="8.42578125" bestFit="1" customWidth="1"/>
    <col min="3" max="3" width="8.7109375" customWidth="1"/>
    <col min="4" max="4" width="32.7109375" customWidth="1"/>
    <col min="5" max="9" width="13" customWidth="1"/>
  </cols>
  <sheetData>
    <row r="1" spans="1:9" ht="18" customHeight="1">
      <c r="A1" s="195" t="s">
        <v>17</v>
      </c>
      <c r="B1" s="195"/>
      <c r="C1" s="195"/>
      <c r="D1" s="195"/>
      <c r="E1" s="195"/>
      <c r="F1" s="195"/>
      <c r="G1" s="195"/>
      <c r="H1" s="195"/>
      <c r="I1" s="195"/>
    </row>
    <row r="3" spans="1:9" ht="15.75" customHeight="1">
      <c r="A3" s="167" t="s">
        <v>74</v>
      </c>
      <c r="B3" s="167"/>
      <c r="C3" s="167"/>
      <c r="D3" s="167"/>
      <c r="E3" s="167"/>
      <c r="F3" s="167"/>
      <c r="G3" s="167"/>
      <c r="H3" s="167"/>
      <c r="I3" s="167"/>
    </row>
    <row r="4" spans="1:9">
      <c r="A4" s="51"/>
      <c r="B4" s="51"/>
      <c r="C4" s="51"/>
      <c r="D4" s="51"/>
      <c r="E4" s="51"/>
      <c r="F4" s="51"/>
      <c r="G4" s="51"/>
      <c r="H4" s="51"/>
      <c r="I4" s="51"/>
    </row>
    <row r="5" spans="1:9" ht="33" customHeight="1">
      <c r="A5" s="207" t="s">
        <v>137</v>
      </c>
      <c r="B5" s="191"/>
      <c r="C5" s="191"/>
      <c r="D5" s="191"/>
      <c r="E5" s="191"/>
      <c r="F5" s="191"/>
      <c r="G5" s="191"/>
      <c r="H5" s="191"/>
      <c r="I5" s="191"/>
    </row>
    <row r="7" spans="1:9" ht="18">
      <c r="A7" s="3"/>
      <c r="B7" s="3"/>
      <c r="C7" s="3"/>
      <c r="D7" s="3"/>
      <c r="E7" s="3"/>
      <c r="F7" s="3"/>
      <c r="G7" s="3"/>
      <c r="H7" s="4"/>
      <c r="I7" s="29"/>
    </row>
    <row r="8" spans="1:9" ht="31.5" customHeight="1">
      <c r="A8" s="231" t="s">
        <v>19</v>
      </c>
      <c r="B8" s="232"/>
      <c r="C8" s="233"/>
      <c r="D8" s="150" t="s">
        <v>20</v>
      </c>
      <c r="E8" s="149" t="s">
        <v>141</v>
      </c>
      <c r="F8" s="149" t="s">
        <v>140</v>
      </c>
      <c r="G8" s="149" t="s">
        <v>138</v>
      </c>
      <c r="H8" s="149" t="s">
        <v>70</v>
      </c>
      <c r="I8" s="149" t="s">
        <v>139</v>
      </c>
    </row>
    <row r="9" spans="1:9" ht="31.5" customHeight="1">
      <c r="A9" s="234" t="s">
        <v>305</v>
      </c>
      <c r="B9" s="235"/>
      <c r="C9" s="236"/>
      <c r="D9" s="26" t="s">
        <v>306</v>
      </c>
      <c r="E9" s="151">
        <f>+E10</f>
        <v>2687538.48</v>
      </c>
      <c r="F9" s="151">
        <f t="shared" ref="F9:I9" si="0">+F10</f>
        <v>3943133</v>
      </c>
      <c r="G9" s="151">
        <f t="shared" si="0"/>
        <v>5493964</v>
      </c>
      <c r="H9" s="151">
        <f t="shared" si="0"/>
        <v>5462084</v>
      </c>
      <c r="I9" s="151">
        <f t="shared" si="0"/>
        <v>5505584</v>
      </c>
    </row>
    <row r="10" spans="1:9" ht="31.5" customHeight="1">
      <c r="A10" s="234" t="s">
        <v>290</v>
      </c>
      <c r="B10" s="235"/>
      <c r="C10" s="236"/>
      <c r="D10" s="26" t="s">
        <v>291</v>
      </c>
      <c r="E10" s="151">
        <f>SUM(E11:E18)</f>
        <v>2687538.48</v>
      </c>
      <c r="F10" s="151">
        <f t="shared" ref="F10:I10" si="1">SUM(F11:F18)</f>
        <v>3943133</v>
      </c>
      <c r="G10" s="151">
        <f t="shared" si="1"/>
        <v>5493964</v>
      </c>
      <c r="H10" s="151">
        <f t="shared" si="1"/>
        <v>5462084</v>
      </c>
      <c r="I10" s="151">
        <f t="shared" si="1"/>
        <v>5505584</v>
      </c>
    </row>
    <row r="11" spans="1:9" ht="31.5" customHeight="1">
      <c r="A11" s="225" t="s">
        <v>28</v>
      </c>
      <c r="B11" s="226"/>
      <c r="C11" s="227"/>
      <c r="D11" s="57" t="s">
        <v>149</v>
      </c>
      <c r="E11" s="148">
        <f>+E21+E73</f>
        <v>2099935.86</v>
      </c>
      <c r="F11" s="148">
        <f t="shared" ref="F11:I11" si="2">+F21+F73</f>
        <v>3097052</v>
      </c>
      <c r="G11" s="148">
        <f t="shared" si="2"/>
        <v>4621700</v>
      </c>
      <c r="H11" s="148">
        <f t="shared" si="2"/>
        <v>4584600</v>
      </c>
      <c r="I11" s="148">
        <f t="shared" si="2"/>
        <v>4605100</v>
      </c>
    </row>
    <row r="12" spans="1:9" ht="31.5" customHeight="1">
      <c r="A12" s="225" t="s">
        <v>150</v>
      </c>
      <c r="B12" s="226"/>
      <c r="C12" s="227"/>
      <c r="D12" s="57" t="s">
        <v>151</v>
      </c>
      <c r="E12" s="148">
        <f>+E25+E77</f>
        <v>9481.9700000000012</v>
      </c>
      <c r="F12" s="148">
        <f t="shared" ref="F12:I12" si="3">+F25+F77</f>
        <v>10923</v>
      </c>
      <c r="G12" s="148">
        <f t="shared" si="3"/>
        <v>11151</v>
      </c>
      <c r="H12" s="148">
        <f t="shared" si="3"/>
        <v>11151</v>
      </c>
      <c r="I12" s="148">
        <f t="shared" si="3"/>
        <v>11151</v>
      </c>
    </row>
    <row r="13" spans="1:9" ht="31.5" customHeight="1">
      <c r="A13" s="225" t="s">
        <v>152</v>
      </c>
      <c r="B13" s="226"/>
      <c r="C13" s="227"/>
      <c r="D13" s="57" t="s">
        <v>165</v>
      </c>
      <c r="E13" s="148">
        <f>+E29+E61+E68+E82</f>
        <v>509058.23</v>
      </c>
      <c r="F13" s="148">
        <f t="shared" ref="F13:I13" si="4">+F29+F61+F68+F82</f>
        <v>605076</v>
      </c>
      <c r="G13" s="148">
        <f t="shared" si="4"/>
        <v>617240</v>
      </c>
      <c r="H13" s="148">
        <f t="shared" si="4"/>
        <v>630960</v>
      </c>
      <c r="I13" s="148">
        <f t="shared" si="4"/>
        <v>645960</v>
      </c>
    </row>
    <row r="14" spans="1:9" ht="31.5" customHeight="1">
      <c r="A14" s="225" t="s">
        <v>154</v>
      </c>
      <c r="B14" s="226"/>
      <c r="C14" s="227"/>
      <c r="D14" s="57" t="s">
        <v>168</v>
      </c>
      <c r="E14" s="148">
        <f>+E34</f>
        <v>0</v>
      </c>
      <c r="F14" s="148">
        <f t="shared" ref="F14:I14" si="5">+F34</f>
        <v>0</v>
      </c>
      <c r="G14" s="148">
        <f t="shared" si="5"/>
        <v>4000</v>
      </c>
      <c r="H14" s="148">
        <f t="shared" si="5"/>
        <v>0</v>
      </c>
      <c r="I14" s="148">
        <f t="shared" si="5"/>
        <v>0</v>
      </c>
    </row>
    <row r="15" spans="1:9" ht="31.5" customHeight="1">
      <c r="A15" s="225" t="s">
        <v>157</v>
      </c>
      <c r="B15" s="226"/>
      <c r="C15" s="227"/>
      <c r="D15" s="57" t="s">
        <v>156</v>
      </c>
      <c r="E15" s="148">
        <f>+E37+E87</f>
        <v>40652.85</v>
      </c>
      <c r="F15" s="148">
        <f t="shared" ref="F15:I15" si="6">+F37+F87</f>
        <v>171709</v>
      </c>
      <c r="G15" s="148">
        <f t="shared" si="6"/>
        <v>192500</v>
      </c>
      <c r="H15" s="148">
        <f t="shared" si="6"/>
        <v>188000</v>
      </c>
      <c r="I15" s="148">
        <f t="shared" si="6"/>
        <v>196000</v>
      </c>
    </row>
    <row r="16" spans="1:9" ht="31.5" customHeight="1">
      <c r="A16" s="225" t="s">
        <v>158</v>
      </c>
      <c r="B16" s="226"/>
      <c r="C16" s="227"/>
      <c r="D16" s="57" t="s">
        <v>159</v>
      </c>
      <c r="E16" s="148">
        <f>+E40+E51+E64</f>
        <v>18590.8</v>
      </c>
      <c r="F16" s="148">
        <f t="shared" ref="F16:I16" si="7">+F40+F51+F64</f>
        <v>31727</v>
      </c>
      <c r="G16" s="148">
        <f t="shared" si="7"/>
        <v>31227</v>
      </c>
      <c r="H16" s="148">
        <f t="shared" si="7"/>
        <v>31227</v>
      </c>
      <c r="I16" s="148">
        <f t="shared" si="7"/>
        <v>31227</v>
      </c>
    </row>
    <row r="17" spans="1:11" ht="31.5" customHeight="1">
      <c r="A17" s="225" t="s">
        <v>29</v>
      </c>
      <c r="B17" s="226"/>
      <c r="C17" s="227"/>
      <c r="D17" s="57" t="s">
        <v>162</v>
      </c>
      <c r="E17" s="148">
        <f>+E44+E90</f>
        <v>8511.4</v>
      </c>
      <c r="F17" s="148">
        <f t="shared" ref="F17:I17" si="8">+F44+F90</f>
        <v>26500</v>
      </c>
      <c r="G17" s="148">
        <f t="shared" si="8"/>
        <v>16000</v>
      </c>
      <c r="H17" s="148">
        <f t="shared" si="8"/>
        <v>16000</v>
      </c>
      <c r="I17" s="148">
        <f t="shared" si="8"/>
        <v>16000</v>
      </c>
    </row>
    <row r="18" spans="1:11" ht="31.5" customHeight="1">
      <c r="A18" s="225" t="s">
        <v>163</v>
      </c>
      <c r="B18" s="226"/>
      <c r="C18" s="227"/>
      <c r="D18" s="57" t="s">
        <v>169</v>
      </c>
      <c r="E18" s="148">
        <f>+E47+E93</f>
        <v>1307.3699999999999</v>
      </c>
      <c r="F18" s="148">
        <f t="shared" ref="F18:I18" si="9">+F47+F93</f>
        <v>146</v>
      </c>
      <c r="G18" s="148">
        <f t="shared" si="9"/>
        <v>146</v>
      </c>
      <c r="H18" s="148">
        <f t="shared" si="9"/>
        <v>146</v>
      </c>
      <c r="I18" s="148">
        <f t="shared" si="9"/>
        <v>146</v>
      </c>
    </row>
    <row r="19" spans="1:11" ht="28.5" customHeight="1">
      <c r="A19" s="234" t="s">
        <v>25</v>
      </c>
      <c r="B19" s="235"/>
      <c r="C19" s="236"/>
      <c r="D19" s="26" t="s">
        <v>26</v>
      </c>
      <c r="E19" s="58">
        <f>+E20+E50+E60+E67+E72</f>
        <v>2687538.48</v>
      </c>
      <c r="F19" s="58">
        <f>+F20+F50+F60+F67+F72</f>
        <v>3943133</v>
      </c>
      <c r="G19" s="58">
        <f>+G20+G50+G60+G67+G72</f>
        <v>5494964</v>
      </c>
      <c r="H19" s="58">
        <f>+H20+H50+H60+H67+H72</f>
        <v>5462084</v>
      </c>
      <c r="I19" s="58">
        <f>+I20+I50+I60+I67+I72</f>
        <v>5505584</v>
      </c>
    </row>
    <row r="20" spans="1:11" ht="24" customHeight="1">
      <c r="A20" s="228" t="s">
        <v>27</v>
      </c>
      <c r="B20" s="229"/>
      <c r="C20" s="230"/>
      <c r="D20" s="56" t="s">
        <v>170</v>
      </c>
      <c r="E20" s="59">
        <f>+E21+E25+E29+E40+E44+E47+E37+E34</f>
        <v>2638721.29</v>
      </c>
      <c r="F20" s="59">
        <f t="shared" ref="F20:I20" si="10">+F21+F25+F29+F40+F44+F47+F37+F34</f>
        <v>3794021</v>
      </c>
      <c r="G20" s="59">
        <f t="shared" si="10"/>
        <v>5378214</v>
      </c>
      <c r="H20" s="59">
        <f t="shared" si="10"/>
        <v>5355224</v>
      </c>
      <c r="I20" s="59">
        <f t="shared" si="10"/>
        <v>5358174</v>
      </c>
      <c r="J20" s="32"/>
      <c r="K20" s="32"/>
    </row>
    <row r="21" spans="1:11" s="23" customFormat="1" ht="28.5" customHeight="1">
      <c r="A21" s="225" t="s">
        <v>28</v>
      </c>
      <c r="B21" s="226"/>
      <c r="C21" s="227"/>
      <c r="D21" s="57" t="s">
        <v>149</v>
      </c>
      <c r="E21" s="60">
        <f>+E22</f>
        <v>2098276.8199999998</v>
      </c>
      <c r="F21" s="60">
        <f>+F22</f>
        <v>3079852</v>
      </c>
      <c r="G21" s="60">
        <f>+G22</f>
        <v>4621700</v>
      </c>
      <c r="H21" s="60">
        <f>+H22</f>
        <v>4584600</v>
      </c>
      <c r="I21" s="60">
        <f>+I22</f>
        <v>4605100</v>
      </c>
      <c r="J21" s="31"/>
      <c r="K21" s="31"/>
    </row>
    <row r="22" spans="1:11" s="23" customFormat="1">
      <c r="A22" s="200">
        <v>3</v>
      </c>
      <c r="B22" s="201"/>
      <c r="C22" s="202"/>
      <c r="D22" s="19" t="s">
        <v>10</v>
      </c>
      <c r="E22" s="61">
        <f>+E23+E24</f>
        <v>2098276.8199999998</v>
      </c>
      <c r="F22" s="61">
        <f>+F23+F24</f>
        <v>3079852</v>
      </c>
      <c r="G22" s="61">
        <f>+G23+G24</f>
        <v>4621700</v>
      </c>
      <c r="H22" s="61">
        <f>+H23+H24</f>
        <v>4584600</v>
      </c>
      <c r="I22" s="61">
        <f>+I23+I24</f>
        <v>4605100</v>
      </c>
      <c r="J22" s="31"/>
      <c r="K22" s="31"/>
    </row>
    <row r="23" spans="1:11">
      <c r="A23" s="24"/>
      <c r="B23" s="204">
        <v>31</v>
      </c>
      <c r="C23" s="221"/>
      <c r="D23" s="18" t="s">
        <v>11</v>
      </c>
      <c r="E23" s="120">
        <v>2077256.76</v>
      </c>
      <c r="F23" s="62">
        <v>3021752</v>
      </c>
      <c r="G23" s="62">
        <f>4719600-164600-20000</f>
        <v>4535000</v>
      </c>
      <c r="H23" s="62">
        <v>4497900</v>
      </c>
      <c r="I23" s="62">
        <v>4544700</v>
      </c>
      <c r="J23" s="32"/>
      <c r="K23" s="32"/>
    </row>
    <row r="24" spans="1:11">
      <c r="A24" s="24"/>
      <c r="B24" s="204">
        <v>32</v>
      </c>
      <c r="C24" s="221"/>
      <c r="D24" s="18" t="s">
        <v>21</v>
      </c>
      <c r="E24" s="120">
        <v>21020.06</v>
      </c>
      <c r="F24" s="62">
        <v>58100</v>
      </c>
      <c r="G24" s="62">
        <v>86700</v>
      </c>
      <c r="H24" s="62">
        <v>86700</v>
      </c>
      <c r="I24" s="62">
        <v>60400</v>
      </c>
      <c r="J24" s="32"/>
      <c r="K24" s="32"/>
    </row>
    <row r="25" spans="1:11" s="23" customFormat="1" ht="25.5" customHeight="1">
      <c r="A25" s="225" t="s">
        <v>150</v>
      </c>
      <c r="B25" s="226"/>
      <c r="C25" s="227"/>
      <c r="D25" s="57" t="s">
        <v>151</v>
      </c>
      <c r="E25" s="63">
        <f>+E26</f>
        <v>9411.86</v>
      </c>
      <c r="F25" s="63">
        <f>+F26</f>
        <v>10923</v>
      </c>
      <c r="G25" s="63">
        <f>+G26</f>
        <v>11151</v>
      </c>
      <c r="H25" s="63">
        <f>+H26</f>
        <v>11151</v>
      </c>
      <c r="I25" s="63">
        <f>+I26</f>
        <v>11151</v>
      </c>
      <c r="J25" s="31"/>
      <c r="K25" s="31"/>
    </row>
    <row r="26" spans="1:11">
      <c r="A26" s="200">
        <v>3</v>
      </c>
      <c r="B26" s="201"/>
      <c r="C26" s="202"/>
      <c r="D26" s="19" t="s">
        <v>10</v>
      </c>
      <c r="E26" s="122">
        <f>+E27+E28</f>
        <v>9411.86</v>
      </c>
      <c r="F26" s="64">
        <f>SUM(F27:F28)</f>
        <v>10923</v>
      </c>
      <c r="G26" s="64">
        <f t="shared" ref="G26:I26" si="11">SUM(G27:G28)</f>
        <v>11151</v>
      </c>
      <c r="H26" s="64">
        <f t="shared" si="11"/>
        <v>11151</v>
      </c>
      <c r="I26" s="64">
        <f t="shared" si="11"/>
        <v>11151</v>
      </c>
      <c r="J26" s="32"/>
      <c r="K26" s="32"/>
    </row>
    <row r="27" spans="1:11">
      <c r="A27" s="24"/>
      <c r="B27" s="204">
        <v>31</v>
      </c>
      <c r="C27" s="221"/>
      <c r="D27" s="18" t="s">
        <v>11</v>
      </c>
      <c r="E27" s="120">
        <v>0</v>
      </c>
      <c r="F27" s="62"/>
      <c r="G27" s="62"/>
      <c r="H27" s="62"/>
      <c r="I27" s="62"/>
      <c r="J27" s="32"/>
      <c r="K27" s="32"/>
    </row>
    <row r="28" spans="1:11">
      <c r="A28" s="24"/>
      <c r="B28" s="204">
        <v>32</v>
      </c>
      <c r="C28" s="221"/>
      <c r="D28" s="18" t="s">
        <v>21</v>
      </c>
      <c r="E28" s="120">
        <v>9411.86</v>
      </c>
      <c r="F28" s="62">
        <v>10923</v>
      </c>
      <c r="G28" s="62">
        <v>11151</v>
      </c>
      <c r="H28" s="62">
        <v>11151</v>
      </c>
      <c r="I28" s="62">
        <v>11151</v>
      </c>
      <c r="J28" s="32"/>
      <c r="K28" s="32"/>
    </row>
    <row r="29" spans="1:11" s="23" customFormat="1" ht="25.5" customHeight="1">
      <c r="A29" s="225" t="s">
        <v>152</v>
      </c>
      <c r="B29" s="226"/>
      <c r="C29" s="227"/>
      <c r="D29" s="57" t="s">
        <v>165</v>
      </c>
      <c r="E29" s="60">
        <f>+E30</f>
        <v>481185.99</v>
      </c>
      <c r="F29" s="60">
        <f>+F30</f>
        <v>560164</v>
      </c>
      <c r="G29" s="60">
        <f>+G30</f>
        <v>544390</v>
      </c>
      <c r="H29" s="60">
        <f>+H30</f>
        <v>567000</v>
      </c>
      <c r="I29" s="60">
        <f>+I30</f>
        <v>585450</v>
      </c>
      <c r="J29" s="31"/>
      <c r="K29" s="31"/>
    </row>
    <row r="30" spans="1:11">
      <c r="A30" s="203">
        <v>3</v>
      </c>
      <c r="B30" s="204"/>
      <c r="C30" s="221"/>
      <c r="D30" s="19" t="s">
        <v>10</v>
      </c>
      <c r="E30" s="123">
        <f>+E31+E32+E33</f>
        <v>481185.99</v>
      </c>
      <c r="F30" s="61">
        <f>SUM(F31:F33)</f>
        <v>560164</v>
      </c>
      <c r="G30" s="61">
        <f t="shared" ref="G30:I30" si="12">SUM(G31:G33)</f>
        <v>544390</v>
      </c>
      <c r="H30" s="61">
        <f t="shared" si="12"/>
        <v>567000</v>
      </c>
      <c r="I30" s="61">
        <f t="shared" si="12"/>
        <v>585450</v>
      </c>
      <c r="J30" s="32"/>
      <c r="K30" s="32"/>
    </row>
    <row r="31" spans="1:11">
      <c r="A31" s="24"/>
      <c r="B31" s="34">
        <v>31</v>
      </c>
      <c r="C31" s="38"/>
      <c r="D31" s="18" t="s">
        <v>11</v>
      </c>
      <c r="E31" s="120">
        <v>0</v>
      </c>
      <c r="F31" s="62">
        <v>0</v>
      </c>
      <c r="G31" s="62">
        <v>0</v>
      </c>
      <c r="H31" s="62">
        <v>0</v>
      </c>
      <c r="I31" s="62">
        <v>0</v>
      </c>
    </row>
    <row r="32" spans="1:11">
      <c r="A32" s="24"/>
      <c r="B32" s="34">
        <v>32</v>
      </c>
      <c r="C32" s="38"/>
      <c r="D32" s="18" t="s">
        <v>21</v>
      </c>
      <c r="E32" s="120">
        <v>478872.02</v>
      </c>
      <c r="F32" s="62">
        <v>557054</v>
      </c>
      <c r="G32" s="62">
        <f>541240</f>
        <v>541240</v>
      </c>
      <c r="H32" s="62">
        <v>563850</v>
      </c>
      <c r="I32" s="62">
        <v>582300</v>
      </c>
    </row>
    <row r="33" spans="1:11">
      <c r="A33" s="24"/>
      <c r="B33" s="34">
        <v>34</v>
      </c>
      <c r="C33" s="38"/>
      <c r="D33" s="18" t="s">
        <v>33</v>
      </c>
      <c r="E33" s="120">
        <v>2313.9699999999998</v>
      </c>
      <c r="F33" s="62">
        <v>3110</v>
      </c>
      <c r="G33" s="62">
        <v>3150</v>
      </c>
      <c r="H33" s="62">
        <v>3150</v>
      </c>
      <c r="I33" s="62">
        <v>3150</v>
      </c>
    </row>
    <row r="34" spans="1:11" s="23" customFormat="1" ht="25.5" customHeight="1">
      <c r="A34" s="225" t="s">
        <v>154</v>
      </c>
      <c r="B34" s="226"/>
      <c r="C34" s="227"/>
      <c r="D34" s="57" t="s">
        <v>168</v>
      </c>
      <c r="E34" s="60">
        <f>+E35</f>
        <v>0</v>
      </c>
      <c r="F34" s="60">
        <f t="shared" ref="F34:I35" si="13">+F35</f>
        <v>0</v>
      </c>
      <c r="G34" s="60">
        <f t="shared" si="13"/>
        <v>4000</v>
      </c>
      <c r="H34" s="60">
        <f t="shared" si="13"/>
        <v>0</v>
      </c>
      <c r="I34" s="60">
        <f t="shared" si="13"/>
        <v>0</v>
      </c>
    </row>
    <row r="35" spans="1:11">
      <c r="A35" s="203">
        <v>3</v>
      </c>
      <c r="B35" s="204"/>
      <c r="C35" s="221"/>
      <c r="D35" s="19" t="s">
        <v>10</v>
      </c>
      <c r="E35" s="122">
        <f>+E36</f>
        <v>0</v>
      </c>
      <c r="F35" s="61">
        <f>+F36</f>
        <v>0</v>
      </c>
      <c r="G35" s="61">
        <f t="shared" si="13"/>
        <v>4000</v>
      </c>
      <c r="H35" s="61">
        <f t="shared" si="13"/>
        <v>0</v>
      </c>
      <c r="I35" s="61">
        <f t="shared" si="13"/>
        <v>0</v>
      </c>
      <c r="J35" s="32"/>
      <c r="K35" s="32"/>
    </row>
    <row r="36" spans="1:11">
      <c r="A36" s="24"/>
      <c r="B36" s="34">
        <v>32</v>
      </c>
      <c r="C36" s="38"/>
      <c r="D36" s="18" t="s">
        <v>21</v>
      </c>
      <c r="E36" s="120">
        <v>0</v>
      </c>
      <c r="F36" s="62">
        <v>0</v>
      </c>
      <c r="G36" s="62">
        <v>4000</v>
      </c>
      <c r="H36" s="62">
        <v>0</v>
      </c>
      <c r="I36" s="62">
        <v>0</v>
      </c>
    </row>
    <row r="37" spans="1:11" s="23" customFormat="1" ht="25.5" customHeight="1">
      <c r="A37" s="225" t="s">
        <v>157</v>
      </c>
      <c r="B37" s="226"/>
      <c r="C37" s="227"/>
      <c r="D37" s="57" t="s">
        <v>156</v>
      </c>
      <c r="E37" s="60">
        <f>+E38</f>
        <v>40652.85</v>
      </c>
      <c r="F37" s="60">
        <f t="shared" ref="F37:I38" si="14">+F38</f>
        <v>117209</v>
      </c>
      <c r="G37" s="60">
        <f t="shared" si="14"/>
        <v>186500</v>
      </c>
      <c r="H37" s="60">
        <f t="shared" si="14"/>
        <v>182000</v>
      </c>
      <c r="I37" s="60">
        <f t="shared" si="14"/>
        <v>146000</v>
      </c>
    </row>
    <row r="38" spans="1:11">
      <c r="A38" s="203">
        <v>3</v>
      </c>
      <c r="B38" s="204"/>
      <c r="C38" s="221"/>
      <c r="D38" s="19" t="s">
        <v>10</v>
      </c>
      <c r="E38" s="122">
        <f>+E39</f>
        <v>40652.85</v>
      </c>
      <c r="F38" s="61">
        <f>+F39</f>
        <v>117209</v>
      </c>
      <c r="G38" s="61">
        <f t="shared" si="14"/>
        <v>186500</v>
      </c>
      <c r="H38" s="61">
        <f t="shared" si="14"/>
        <v>182000</v>
      </c>
      <c r="I38" s="61">
        <f t="shared" si="14"/>
        <v>146000</v>
      </c>
      <c r="J38" s="32"/>
      <c r="K38" s="32"/>
    </row>
    <row r="39" spans="1:11">
      <c r="A39" s="24"/>
      <c r="B39" s="34">
        <v>32</v>
      </c>
      <c r="C39" s="38"/>
      <c r="D39" s="18" t="s">
        <v>21</v>
      </c>
      <c r="E39" s="120">
        <v>40652.85</v>
      </c>
      <c r="F39" s="62">
        <v>117209</v>
      </c>
      <c r="G39" s="62">
        <v>186500</v>
      </c>
      <c r="H39" s="62">
        <v>182000</v>
      </c>
      <c r="I39" s="62">
        <v>146000</v>
      </c>
    </row>
    <row r="40" spans="1:11" s="23" customFormat="1" ht="25.5" customHeight="1">
      <c r="A40" s="225" t="s">
        <v>158</v>
      </c>
      <c r="B40" s="226"/>
      <c r="C40" s="227"/>
      <c r="D40" s="57" t="s">
        <v>159</v>
      </c>
      <c r="E40" s="60">
        <f>+E41</f>
        <v>0</v>
      </c>
      <c r="F40" s="60">
        <f>+F41</f>
        <v>1727</v>
      </c>
      <c r="G40" s="60">
        <f>+G41</f>
        <v>1327</v>
      </c>
      <c r="H40" s="60">
        <f>+H41</f>
        <v>1327</v>
      </c>
      <c r="I40" s="60">
        <f>+I41</f>
        <v>1327</v>
      </c>
    </row>
    <row r="41" spans="1:11">
      <c r="A41" s="203">
        <v>3</v>
      </c>
      <c r="B41" s="204"/>
      <c r="C41" s="221"/>
      <c r="D41" s="19" t="s">
        <v>10</v>
      </c>
      <c r="E41" s="120">
        <f>+E42+E43</f>
        <v>0</v>
      </c>
      <c r="F41" s="66">
        <f>SUM(F42:F43)</f>
        <v>1727</v>
      </c>
      <c r="G41" s="66">
        <f t="shared" ref="G41:I41" si="15">SUM(G42:G43)</f>
        <v>1327</v>
      </c>
      <c r="H41" s="66">
        <f t="shared" si="15"/>
        <v>1327</v>
      </c>
      <c r="I41" s="66">
        <f t="shared" si="15"/>
        <v>1327</v>
      </c>
    </row>
    <row r="42" spans="1:11">
      <c r="A42" s="24"/>
      <c r="B42" s="34">
        <v>32</v>
      </c>
      <c r="C42" s="38"/>
      <c r="D42" s="18" t="s">
        <v>21</v>
      </c>
      <c r="E42" s="120">
        <v>0</v>
      </c>
      <c r="F42" s="62">
        <f>1727</f>
        <v>1727</v>
      </c>
      <c r="G42" s="62">
        <f>1327</f>
        <v>1327</v>
      </c>
      <c r="H42" s="62">
        <f>1327</f>
        <v>1327</v>
      </c>
      <c r="I42" s="62">
        <f>1327</f>
        <v>1327</v>
      </c>
    </row>
    <row r="43" spans="1:11">
      <c r="A43" s="24"/>
      <c r="B43" s="34">
        <v>38</v>
      </c>
      <c r="C43" s="38"/>
      <c r="D43" s="18" t="s">
        <v>34</v>
      </c>
      <c r="E43" s="120">
        <v>0</v>
      </c>
      <c r="F43" s="62">
        <v>0</v>
      </c>
      <c r="G43" s="62">
        <v>0</v>
      </c>
      <c r="H43" s="62">
        <v>0</v>
      </c>
      <c r="I43" s="62">
        <v>0</v>
      </c>
    </row>
    <row r="44" spans="1:11" s="23" customFormat="1" ht="25.5" customHeight="1">
      <c r="A44" s="225" t="s">
        <v>29</v>
      </c>
      <c r="B44" s="226"/>
      <c r="C44" s="227"/>
      <c r="D44" s="57" t="s">
        <v>162</v>
      </c>
      <c r="E44" s="60">
        <f t="shared" ref="E44:I45" si="16">+E45</f>
        <v>8211.4</v>
      </c>
      <c r="F44" s="60">
        <f t="shared" si="16"/>
        <v>24000</v>
      </c>
      <c r="G44" s="60">
        <f t="shared" si="16"/>
        <v>9000</v>
      </c>
      <c r="H44" s="60">
        <f t="shared" si="16"/>
        <v>9000</v>
      </c>
      <c r="I44" s="60">
        <f t="shared" si="16"/>
        <v>9000</v>
      </c>
    </row>
    <row r="45" spans="1:11">
      <c r="A45" s="203">
        <v>3</v>
      </c>
      <c r="B45" s="204"/>
      <c r="C45" s="221"/>
      <c r="D45" s="19" t="s">
        <v>10</v>
      </c>
      <c r="E45" s="122">
        <f t="shared" si="16"/>
        <v>8211.4</v>
      </c>
      <c r="F45" s="61">
        <f>+F46</f>
        <v>24000</v>
      </c>
      <c r="G45" s="61">
        <f t="shared" si="16"/>
        <v>9000</v>
      </c>
      <c r="H45" s="61">
        <f t="shared" si="16"/>
        <v>9000</v>
      </c>
      <c r="I45" s="61">
        <f t="shared" si="16"/>
        <v>9000</v>
      </c>
    </row>
    <row r="46" spans="1:11">
      <c r="A46" s="24"/>
      <c r="B46" s="34">
        <v>32</v>
      </c>
      <c r="C46" s="38"/>
      <c r="D46" s="18" t="s">
        <v>21</v>
      </c>
      <c r="E46" s="120">
        <v>8211.4</v>
      </c>
      <c r="F46" s="62">
        <v>24000</v>
      </c>
      <c r="G46" s="62">
        <v>9000</v>
      </c>
      <c r="H46" s="62">
        <v>9000</v>
      </c>
      <c r="I46" s="62">
        <v>9000</v>
      </c>
    </row>
    <row r="47" spans="1:11" s="23" customFormat="1" ht="38.25">
      <c r="A47" s="225" t="s">
        <v>163</v>
      </c>
      <c r="B47" s="226"/>
      <c r="C47" s="227"/>
      <c r="D47" s="57" t="s">
        <v>169</v>
      </c>
      <c r="E47" s="60">
        <f t="shared" ref="E47:I48" si="17">+E48</f>
        <v>982.37</v>
      </c>
      <c r="F47" s="60">
        <f t="shared" si="17"/>
        <v>146</v>
      </c>
      <c r="G47" s="60">
        <f t="shared" si="17"/>
        <v>146</v>
      </c>
      <c r="H47" s="60">
        <f t="shared" si="17"/>
        <v>146</v>
      </c>
      <c r="I47" s="60">
        <f t="shared" si="17"/>
        <v>146</v>
      </c>
    </row>
    <row r="48" spans="1:11">
      <c r="A48" s="203">
        <v>3</v>
      </c>
      <c r="B48" s="204"/>
      <c r="C48" s="221"/>
      <c r="D48" s="19" t="s">
        <v>10</v>
      </c>
      <c r="E48" s="122">
        <f t="shared" si="17"/>
        <v>982.37</v>
      </c>
      <c r="F48" s="61">
        <f>+F49</f>
        <v>146</v>
      </c>
      <c r="G48" s="61">
        <f t="shared" si="17"/>
        <v>146</v>
      </c>
      <c r="H48" s="61">
        <f t="shared" si="17"/>
        <v>146</v>
      </c>
      <c r="I48" s="61">
        <f t="shared" si="17"/>
        <v>146</v>
      </c>
    </row>
    <row r="49" spans="1:9">
      <c r="A49" s="24"/>
      <c r="B49" s="34">
        <v>32</v>
      </c>
      <c r="C49" s="38"/>
      <c r="D49" s="18" t="s">
        <v>21</v>
      </c>
      <c r="E49" s="120">
        <v>982.37</v>
      </c>
      <c r="F49" s="62">
        <v>146</v>
      </c>
      <c r="G49" s="62">
        <v>146</v>
      </c>
      <c r="H49" s="62">
        <v>146</v>
      </c>
      <c r="I49" s="62">
        <v>146</v>
      </c>
    </row>
    <row r="50" spans="1:9" ht="24" customHeight="1">
      <c r="A50" s="228" t="s">
        <v>30</v>
      </c>
      <c r="B50" s="229"/>
      <c r="C50" s="230"/>
      <c r="D50" s="56" t="s">
        <v>171</v>
      </c>
      <c r="E50" s="65">
        <f>+E51</f>
        <v>18590.8</v>
      </c>
      <c r="F50" s="65">
        <f>+F51</f>
        <v>30000</v>
      </c>
      <c r="G50" s="65">
        <f>+G51+G56</f>
        <v>30900</v>
      </c>
      <c r="H50" s="65">
        <f>+H51</f>
        <v>29900</v>
      </c>
      <c r="I50" s="65">
        <f>+I51</f>
        <v>29900</v>
      </c>
    </row>
    <row r="51" spans="1:9" s="23" customFormat="1" ht="25.5" customHeight="1">
      <c r="A51" s="225" t="s">
        <v>158</v>
      </c>
      <c r="B51" s="226"/>
      <c r="C51" s="227"/>
      <c r="D51" s="57" t="s">
        <v>159</v>
      </c>
      <c r="E51" s="60">
        <f>+E52+E54</f>
        <v>18590.8</v>
      </c>
      <c r="F51" s="60">
        <f>+F52+F54</f>
        <v>30000</v>
      </c>
      <c r="G51" s="60">
        <f>+G52+G54</f>
        <v>29900</v>
      </c>
      <c r="H51" s="60">
        <f>+H52+H54</f>
        <v>29900</v>
      </c>
      <c r="I51" s="60">
        <f>+I52+I54</f>
        <v>29900</v>
      </c>
    </row>
    <row r="52" spans="1:9" s="23" customFormat="1">
      <c r="A52" s="200">
        <v>3</v>
      </c>
      <c r="B52" s="201"/>
      <c r="C52" s="202"/>
      <c r="D52" s="19" t="s">
        <v>10</v>
      </c>
      <c r="E52" s="61">
        <f>+E53</f>
        <v>13287.23</v>
      </c>
      <c r="F52" s="61">
        <f>+F53</f>
        <v>28000</v>
      </c>
      <c r="G52" s="61">
        <f>+G53</f>
        <v>14400</v>
      </c>
      <c r="H52" s="61">
        <f>+H53</f>
        <v>14400</v>
      </c>
      <c r="I52" s="61">
        <f>+I53</f>
        <v>14400</v>
      </c>
    </row>
    <row r="53" spans="1:9">
      <c r="A53" s="24"/>
      <c r="B53" s="34">
        <v>32</v>
      </c>
      <c r="C53" s="38"/>
      <c r="D53" s="18" t="s">
        <v>21</v>
      </c>
      <c r="E53" s="120">
        <v>13287.23</v>
      </c>
      <c r="F53" s="62">
        <v>28000</v>
      </c>
      <c r="G53" s="62">
        <f>14400</f>
        <v>14400</v>
      </c>
      <c r="H53" s="62">
        <v>14400</v>
      </c>
      <c r="I53" s="62">
        <v>14400</v>
      </c>
    </row>
    <row r="54" spans="1:9" s="23" customFormat="1" ht="25.5">
      <c r="A54" s="200">
        <v>4</v>
      </c>
      <c r="B54" s="201"/>
      <c r="C54" s="202"/>
      <c r="D54" s="19" t="s">
        <v>35</v>
      </c>
      <c r="E54" s="61">
        <f>+E55</f>
        <v>5303.57</v>
      </c>
      <c r="F54" s="61">
        <f>+F55</f>
        <v>2000</v>
      </c>
      <c r="G54" s="61">
        <f>+G55</f>
        <v>15500</v>
      </c>
      <c r="H54" s="61">
        <f>+H55</f>
        <v>15500</v>
      </c>
      <c r="I54" s="61">
        <f>+I55</f>
        <v>15500</v>
      </c>
    </row>
    <row r="55" spans="1:9" ht="25.5">
      <c r="A55" s="24"/>
      <c r="B55" s="34">
        <v>42</v>
      </c>
      <c r="C55" s="38"/>
      <c r="D55" s="18" t="s">
        <v>23</v>
      </c>
      <c r="E55" s="120">
        <v>5303.57</v>
      </c>
      <c r="F55" s="62">
        <v>2000</v>
      </c>
      <c r="G55" s="62">
        <v>15500</v>
      </c>
      <c r="H55" s="62">
        <v>15500</v>
      </c>
      <c r="I55" s="62">
        <v>15500</v>
      </c>
    </row>
    <row r="56" spans="1:9" s="23" customFormat="1" ht="25.5" customHeight="1">
      <c r="A56" s="225" t="s">
        <v>161</v>
      </c>
      <c r="B56" s="226"/>
      <c r="C56" s="227"/>
      <c r="D56" s="57" t="s">
        <v>160</v>
      </c>
      <c r="E56" s="60">
        <f>+E57</f>
        <v>0</v>
      </c>
      <c r="F56" s="60">
        <f>+F57</f>
        <v>0</v>
      </c>
      <c r="G56" s="60">
        <f>+G57</f>
        <v>1000</v>
      </c>
      <c r="H56" s="60">
        <f>+H57</f>
        <v>0</v>
      </c>
      <c r="I56" s="60">
        <f>+I57</f>
        <v>0</v>
      </c>
    </row>
    <row r="57" spans="1:9">
      <c r="A57" s="203">
        <v>3</v>
      </c>
      <c r="B57" s="204"/>
      <c r="C57" s="221"/>
      <c r="D57" s="19" t="s">
        <v>10</v>
      </c>
      <c r="E57" s="120">
        <f>+E58+E59</f>
        <v>0</v>
      </c>
      <c r="F57" s="66">
        <f>SUM(F58:F59)</f>
        <v>0</v>
      </c>
      <c r="G57" s="66">
        <f t="shared" ref="G57:I57" si="18">SUM(G58:G59)</f>
        <v>1000</v>
      </c>
      <c r="H57" s="66">
        <f t="shared" si="18"/>
        <v>0</v>
      </c>
      <c r="I57" s="66">
        <f t="shared" si="18"/>
        <v>0</v>
      </c>
    </row>
    <row r="58" spans="1:9">
      <c r="A58" s="24"/>
      <c r="B58" s="34">
        <v>32</v>
      </c>
      <c r="C58" s="38"/>
      <c r="D58" s="18" t="s">
        <v>21</v>
      </c>
      <c r="E58" s="120">
        <v>0</v>
      </c>
      <c r="F58" s="62">
        <v>0</v>
      </c>
      <c r="G58" s="62">
        <v>1000</v>
      </c>
      <c r="H58" s="62">
        <v>0</v>
      </c>
      <c r="I58" s="62">
        <v>0</v>
      </c>
    </row>
    <row r="59" spans="1:9">
      <c r="A59" s="24"/>
      <c r="B59" s="34">
        <v>38</v>
      </c>
      <c r="C59" s="38"/>
      <c r="D59" s="18" t="s">
        <v>34</v>
      </c>
      <c r="E59" s="120">
        <v>0</v>
      </c>
      <c r="F59" s="62">
        <v>0</v>
      </c>
      <c r="G59" s="62">
        <v>0</v>
      </c>
      <c r="H59" s="62">
        <v>0</v>
      </c>
      <c r="I59" s="62">
        <v>0</v>
      </c>
    </row>
    <row r="60" spans="1:9" ht="25.5">
      <c r="A60" s="228" t="s">
        <v>31</v>
      </c>
      <c r="B60" s="229"/>
      <c r="C60" s="230"/>
      <c r="D60" s="56" t="s">
        <v>32</v>
      </c>
      <c r="E60" s="59">
        <f>+E61+E64</f>
        <v>0</v>
      </c>
      <c r="F60" s="59">
        <f>+F61+F64</f>
        <v>0</v>
      </c>
      <c r="G60" s="59">
        <f>+G61+G64</f>
        <v>0</v>
      </c>
      <c r="H60" s="59">
        <f>+H61+H64</f>
        <v>0</v>
      </c>
      <c r="I60" s="59">
        <f>+I61+I64</f>
        <v>0</v>
      </c>
    </row>
    <row r="61" spans="1:9" s="23" customFormat="1" ht="25.5" customHeight="1">
      <c r="A61" s="225" t="s">
        <v>152</v>
      </c>
      <c r="B61" s="226"/>
      <c r="C61" s="227"/>
      <c r="D61" s="57" t="s">
        <v>165</v>
      </c>
      <c r="E61" s="60">
        <f t="shared" ref="E61:I62" si="19">+E62</f>
        <v>0</v>
      </c>
      <c r="F61" s="60">
        <f t="shared" si="19"/>
        <v>0</v>
      </c>
      <c r="G61" s="60">
        <f t="shared" si="19"/>
        <v>0</v>
      </c>
      <c r="H61" s="60">
        <f t="shared" si="19"/>
        <v>0</v>
      </c>
      <c r="I61" s="60">
        <f t="shared" si="19"/>
        <v>0</v>
      </c>
    </row>
    <row r="62" spans="1:9" ht="15" customHeight="1">
      <c r="A62" s="237">
        <v>3</v>
      </c>
      <c r="B62" s="238"/>
      <c r="C62" s="239"/>
      <c r="D62" s="19" t="s">
        <v>10</v>
      </c>
      <c r="E62" s="62">
        <f t="shared" si="19"/>
        <v>0</v>
      </c>
      <c r="F62" s="62">
        <f t="shared" si="19"/>
        <v>0</v>
      </c>
      <c r="G62" s="62">
        <f t="shared" si="19"/>
        <v>0</v>
      </c>
      <c r="H62" s="62">
        <f t="shared" si="19"/>
        <v>0</v>
      </c>
      <c r="I62" s="62">
        <f t="shared" si="19"/>
        <v>0</v>
      </c>
    </row>
    <row r="63" spans="1:9" ht="15" customHeight="1">
      <c r="A63" s="39"/>
      <c r="B63" s="36">
        <v>32</v>
      </c>
      <c r="C63" s="40"/>
      <c r="D63" s="18" t="s">
        <v>21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</row>
    <row r="64" spans="1:9" s="23" customFormat="1" ht="25.5" customHeight="1">
      <c r="A64" s="225" t="s">
        <v>158</v>
      </c>
      <c r="B64" s="226"/>
      <c r="C64" s="227"/>
      <c r="D64" s="57" t="s">
        <v>159</v>
      </c>
      <c r="E64" s="60">
        <f t="shared" ref="E64:I65" si="20">+E65</f>
        <v>0</v>
      </c>
      <c r="F64" s="60">
        <f t="shared" si="20"/>
        <v>0</v>
      </c>
      <c r="G64" s="60">
        <f t="shared" si="20"/>
        <v>0</v>
      </c>
      <c r="H64" s="60">
        <f t="shared" si="20"/>
        <v>0</v>
      </c>
      <c r="I64" s="60">
        <f t="shared" si="20"/>
        <v>0</v>
      </c>
    </row>
    <row r="65" spans="1:11">
      <c r="A65" s="237">
        <v>3</v>
      </c>
      <c r="B65" s="238"/>
      <c r="C65" s="239"/>
      <c r="D65" s="19" t="s">
        <v>10</v>
      </c>
      <c r="E65" s="62">
        <f t="shared" si="20"/>
        <v>0</v>
      </c>
      <c r="F65" s="62">
        <f t="shared" si="20"/>
        <v>0</v>
      </c>
      <c r="G65" s="62">
        <f t="shared" si="20"/>
        <v>0</v>
      </c>
      <c r="H65" s="62">
        <f t="shared" si="20"/>
        <v>0</v>
      </c>
      <c r="I65" s="62">
        <f t="shared" si="20"/>
        <v>0</v>
      </c>
    </row>
    <row r="66" spans="1:11">
      <c r="A66" s="39"/>
      <c r="B66" s="36">
        <v>32</v>
      </c>
      <c r="C66" s="40"/>
      <c r="D66" s="18" t="s">
        <v>21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</row>
    <row r="67" spans="1:11" ht="24.75" customHeight="1">
      <c r="A67" s="228" t="s">
        <v>44</v>
      </c>
      <c r="B67" s="229"/>
      <c r="C67" s="230"/>
      <c r="D67" s="56" t="s">
        <v>172</v>
      </c>
      <c r="E67" s="59">
        <f t="shared" ref="E67:I68" si="21">+E68</f>
        <v>5857.48</v>
      </c>
      <c r="F67" s="59">
        <f t="shared" si="21"/>
        <v>6950</v>
      </c>
      <c r="G67" s="59">
        <f t="shared" si="21"/>
        <v>6950</v>
      </c>
      <c r="H67" s="59">
        <f t="shared" si="21"/>
        <v>6950</v>
      </c>
      <c r="I67" s="59">
        <f t="shared" si="21"/>
        <v>6950</v>
      </c>
    </row>
    <row r="68" spans="1:11" s="23" customFormat="1" ht="25.5" customHeight="1">
      <c r="A68" s="225" t="s">
        <v>152</v>
      </c>
      <c r="B68" s="226"/>
      <c r="C68" s="227"/>
      <c r="D68" s="57" t="s">
        <v>165</v>
      </c>
      <c r="E68" s="60">
        <f t="shared" si="21"/>
        <v>5857.48</v>
      </c>
      <c r="F68" s="60">
        <f t="shared" si="21"/>
        <v>6950</v>
      </c>
      <c r="G68" s="60">
        <f t="shared" si="21"/>
        <v>6950</v>
      </c>
      <c r="H68" s="60">
        <f t="shared" si="21"/>
        <v>6950</v>
      </c>
      <c r="I68" s="60">
        <f t="shared" si="21"/>
        <v>6950</v>
      </c>
    </row>
    <row r="69" spans="1:11" ht="15" customHeight="1">
      <c r="A69" s="237">
        <v>3</v>
      </c>
      <c r="B69" s="238"/>
      <c r="C69" s="239"/>
      <c r="D69" s="19" t="s">
        <v>10</v>
      </c>
      <c r="E69" s="62">
        <f>+E70+E71</f>
        <v>5857.48</v>
      </c>
      <c r="F69" s="62">
        <f>+F70+F71</f>
        <v>6950</v>
      </c>
      <c r="G69" s="62">
        <f>+G70+G71</f>
        <v>6950</v>
      </c>
      <c r="H69" s="62">
        <f>+H70+H71</f>
        <v>6950</v>
      </c>
      <c r="I69" s="62">
        <f>+I70+I71</f>
        <v>6950</v>
      </c>
    </row>
    <row r="70" spans="1:11" ht="15" customHeight="1">
      <c r="A70" s="35"/>
      <c r="B70" s="36">
        <v>31</v>
      </c>
      <c r="C70" s="37"/>
      <c r="D70" s="18" t="s">
        <v>11</v>
      </c>
      <c r="E70" s="120">
        <v>3233.41</v>
      </c>
      <c r="F70" s="62">
        <v>4450</v>
      </c>
      <c r="G70" s="62">
        <v>5750</v>
      </c>
      <c r="H70" s="62">
        <v>5750</v>
      </c>
      <c r="I70" s="62">
        <v>5750</v>
      </c>
    </row>
    <row r="71" spans="1:11" ht="15" customHeight="1">
      <c r="A71" s="35"/>
      <c r="B71" s="36">
        <v>32</v>
      </c>
      <c r="C71" s="37"/>
      <c r="D71" s="18" t="s">
        <v>21</v>
      </c>
      <c r="E71" s="120">
        <v>2624.07</v>
      </c>
      <c r="F71" s="62">
        <v>2500</v>
      </c>
      <c r="G71" s="62">
        <v>1200</v>
      </c>
      <c r="H71" s="62">
        <v>1200</v>
      </c>
      <c r="I71" s="62">
        <v>1200</v>
      </c>
    </row>
    <row r="72" spans="1:11" ht="24" customHeight="1">
      <c r="A72" s="228" t="s">
        <v>173</v>
      </c>
      <c r="B72" s="229"/>
      <c r="C72" s="230"/>
      <c r="D72" s="56" t="s">
        <v>45</v>
      </c>
      <c r="E72" s="59">
        <f>+E73+E77+E82+E90+E93+E87</f>
        <v>24368.91</v>
      </c>
      <c r="F72" s="59">
        <f t="shared" ref="F72:I72" si="22">+F73+F77+F82+F90+F93+F87</f>
        <v>112162</v>
      </c>
      <c r="G72" s="59">
        <f t="shared" si="22"/>
        <v>78900</v>
      </c>
      <c r="H72" s="59">
        <f t="shared" si="22"/>
        <v>70010</v>
      </c>
      <c r="I72" s="59">
        <f t="shared" si="22"/>
        <v>110560</v>
      </c>
    </row>
    <row r="73" spans="1:11" s="23" customFormat="1" ht="25.5" customHeight="1">
      <c r="A73" s="225" t="s">
        <v>28</v>
      </c>
      <c r="B73" s="226"/>
      <c r="C73" s="227"/>
      <c r="D73" s="57" t="s">
        <v>149</v>
      </c>
      <c r="E73" s="60">
        <f t="shared" ref="E73:I73" si="23">+E74</f>
        <v>1659.04</v>
      </c>
      <c r="F73" s="60">
        <f t="shared" si="23"/>
        <v>17200</v>
      </c>
      <c r="G73" s="60">
        <f t="shared" si="23"/>
        <v>0</v>
      </c>
      <c r="H73" s="60">
        <f t="shared" si="23"/>
        <v>0</v>
      </c>
      <c r="I73" s="60">
        <f t="shared" si="23"/>
        <v>0</v>
      </c>
      <c r="J73" s="31"/>
      <c r="K73" s="31"/>
    </row>
    <row r="74" spans="1:11" s="23" customFormat="1" ht="25.5">
      <c r="A74" s="200">
        <v>4</v>
      </c>
      <c r="B74" s="201"/>
      <c r="C74" s="202"/>
      <c r="D74" s="19" t="s">
        <v>35</v>
      </c>
      <c r="E74" s="61">
        <f>+E75+E76</f>
        <v>1659.04</v>
      </c>
      <c r="F74" s="61">
        <f t="shared" ref="F74:I74" si="24">+F75+F76</f>
        <v>17200</v>
      </c>
      <c r="G74" s="61">
        <f t="shared" si="24"/>
        <v>0</v>
      </c>
      <c r="H74" s="61">
        <f t="shared" si="24"/>
        <v>0</v>
      </c>
      <c r="I74" s="61">
        <f t="shared" si="24"/>
        <v>0</v>
      </c>
      <c r="J74" s="31"/>
      <c r="K74" s="31"/>
    </row>
    <row r="75" spans="1:11" ht="25.5">
      <c r="A75" s="24"/>
      <c r="B75" s="204">
        <v>41</v>
      </c>
      <c r="C75" s="221"/>
      <c r="D75" s="18" t="s">
        <v>46</v>
      </c>
      <c r="E75" s="120">
        <v>1659.04</v>
      </c>
      <c r="F75" s="62">
        <v>0</v>
      </c>
      <c r="G75" s="62">
        <v>0</v>
      </c>
      <c r="H75" s="62">
        <v>0</v>
      </c>
      <c r="I75" s="62">
        <v>0</v>
      </c>
      <c r="J75" s="32"/>
      <c r="K75" s="32"/>
    </row>
    <row r="76" spans="1:11" ht="25.5">
      <c r="A76" s="24"/>
      <c r="B76" s="34">
        <v>42</v>
      </c>
      <c r="C76" s="38"/>
      <c r="D76" s="18" t="s">
        <v>23</v>
      </c>
      <c r="E76" s="120">
        <v>0</v>
      </c>
      <c r="F76" s="62">
        <v>17200</v>
      </c>
      <c r="G76" s="62">
        <v>0</v>
      </c>
      <c r="H76" s="62">
        <v>0</v>
      </c>
      <c r="I76" s="62">
        <v>0</v>
      </c>
    </row>
    <row r="77" spans="1:11" s="23" customFormat="1" ht="25.5" customHeight="1">
      <c r="A77" s="225" t="s">
        <v>150</v>
      </c>
      <c r="B77" s="226"/>
      <c r="C77" s="227"/>
      <c r="D77" s="57" t="s">
        <v>151</v>
      </c>
      <c r="E77" s="63">
        <f>+E78+E80</f>
        <v>70.11</v>
      </c>
      <c r="F77" s="63">
        <f>+F78+F80</f>
        <v>0</v>
      </c>
      <c r="G77" s="63">
        <f>+G78+G80</f>
        <v>0</v>
      </c>
      <c r="H77" s="63">
        <f>+H78+H80</f>
        <v>0</v>
      </c>
      <c r="I77" s="63">
        <f>+I78+I80</f>
        <v>0</v>
      </c>
    </row>
    <row r="78" spans="1:11" s="23" customFormat="1">
      <c r="A78" s="200">
        <v>3</v>
      </c>
      <c r="B78" s="201"/>
      <c r="C78" s="202"/>
      <c r="D78" s="19" t="s">
        <v>10</v>
      </c>
      <c r="E78" s="61">
        <f>+E79</f>
        <v>70.11</v>
      </c>
      <c r="F78" s="61">
        <f>+F79</f>
        <v>0</v>
      </c>
      <c r="G78" s="61">
        <f>+G79</f>
        <v>0</v>
      </c>
      <c r="H78" s="61">
        <f>+H79</f>
        <v>0</v>
      </c>
      <c r="I78" s="61">
        <f>+I79</f>
        <v>0</v>
      </c>
    </row>
    <row r="79" spans="1:11">
      <c r="A79" s="222">
        <v>32</v>
      </c>
      <c r="B79" s="223"/>
      <c r="C79" s="224"/>
      <c r="D79" s="18" t="s">
        <v>21</v>
      </c>
      <c r="E79" s="120">
        <v>70.11</v>
      </c>
      <c r="F79" s="62"/>
      <c r="G79" s="62"/>
      <c r="H79" s="62"/>
      <c r="I79" s="62"/>
    </row>
    <row r="80" spans="1:11" s="23" customFormat="1" ht="25.5">
      <c r="A80" s="42">
        <v>4</v>
      </c>
      <c r="B80" s="43"/>
      <c r="C80" s="44"/>
      <c r="D80" s="19" t="s">
        <v>35</v>
      </c>
      <c r="E80" s="124">
        <f>+E81</f>
        <v>0</v>
      </c>
      <c r="F80" s="66">
        <f>+F81</f>
        <v>0</v>
      </c>
      <c r="G80" s="66">
        <f>+G81</f>
        <v>0</v>
      </c>
      <c r="H80" s="66">
        <f>+H81</f>
        <v>0</v>
      </c>
      <c r="I80" s="66">
        <f>+I81</f>
        <v>0</v>
      </c>
    </row>
    <row r="81" spans="1:9" ht="25.5">
      <c r="A81" s="24"/>
      <c r="B81" s="34">
        <v>42</v>
      </c>
      <c r="C81" s="38"/>
      <c r="D81" s="18" t="s">
        <v>23</v>
      </c>
      <c r="E81" s="120">
        <v>0</v>
      </c>
      <c r="F81" s="120">
        <v>0</v>
      </c>
      <c r="G81" s="120">
        <v>0</v>
      </c>
      <c r="H81" s="120">
        <v>0</v>
      </c>
      <c r="I81" s="120">
        <v>0</v>
      </c>
    </row>
    <row r="82" spans="1:9" s="23" customFormat="1" ht="25.5" customHeight="1">
      <c r="A82" s="225" t="s">
        <v>152</v>
      </c>
      <c r="B82" s="226"/>
      <c r="C82" s="227"/>
      <c r="D82" s="57" t="s">
        <v>165</v>
      </c>
      <c r="E82" s="60">
        <f>+E83+E85</f>
        <v>22014.76</v>
      </c>
      <c r="F82" s="60">
        <f>+F83+F85</f>
        <v>37962</v>
      </c>
      <c r="G82" s="60">
        <f>+G83+G85</f>
        <v>65900</v>
      </c>
      <c r="H82" s="60">
        <f>+H83+H85</f>
        <v>57010</v>
      </c>
      <c r="I82" s="60">
        <f>+I83+I85</f>
        <v>53560</v>
      </c>
    </row>
    <row r="83" spans="1:9" s="23" customFormat="1">
      <c r="A83" s="200">
        <v>3</v>
      </c>
      <c r="B83" s="201"/>
      <c r="C83" s="202"/>
      <c r="D83" s="19" t="s">
        <v>10</v>
      </c>
      <c r="E83" s="61">
        <f>+E84</f>
        <v>174.21</v>
      </c>
      <c r="F83" s="61">
        <f>+F84</f>
        <v>0</v>
      </c>
      <c r="G83" s="61">
        <f>+G84</f>
        <v>0</v>
      </c>
      <c r="H83" s="61">
        <f>+H84</f>
        <v>0</v>
      </c>
      <c r="I83" s="61">
        <f>+I84</f>
        <v>0</v>
      </c>
    </row>
    <row r="84" spans="1:9">
      <c r="A84" s="222">
        <v>32</v>
      </c>
      <c r="B84" s="223"/>
      <c r="C84" s="224"/>
      <c r="D84" s="18" t="s">
        <v>21</v>
      </c>
      <c r="E84" s="120">
        <v>174.21</v>
      </c>
      <c r="F84" s="62"/>
      <c r="G84" s="62"/>
      <c r="H84" s="62"/>
      <c r="I84" s="62"/>
    </row>
    <row r="85" spans="1:9" s="23" customFormat="1" ht="25.5">
      <c r="A85" s="200">
        <v>4</v>
      </c>
      <c r="B85" s="201"/>
      <c r="C85" s="202"/>
      <c r="D85" s="19" t="s">
        <v>12</v>
      </c>
      <c r="E85" s="123">
        <f>+E86</f>
        <v>21840.55</v>
      </c>
      <c r="F85" s="61">
        <f>+F86</f>
        <v>37962</v>
      </c>
      <c r="G85" s="61">
        <f>+G86</f>
        <v>65900</v>
      </c>
      <c r="H85" s="61">
        <f>+H86</f>
        <v>57010</v>
      </c>
      <c r="I85" s="61">
        <f>+I86</f>
        <v>53560</v>
      </c>
    </row>
    <row r="86" spans="1:9" ht="25.5">
      <c r="A86" s="222">
        <v>42</v>
      </c>
      <c r="B86" s="223"/>
      <c r="C86" s="224"/>
      <c r="D86" s="18" t="s">
        <v>23</v>
      </c>
      <c r="E86" s="120">
        <v>21840.55</v>
      </c>
      <c r="F86" s="62">
        <v>37962</v>
      </c>
      <c r="G86" s="62">
        <v>65900</v>
      </c>
      <c r="H86" s="62">
        <v>57010</v>
      </c>
      <c r="I86" s="62">
        <v>53560</v>
      </c>
    </row>
    <row r="87" spans="1:9" s="23" customFormat="1" ht="25.5" customHeight="1">
      <c r="A87" s="225" t="s">
        <v>157</v>
      </c>
      <c r="B87" s="226"/>
      <c r="C87" s="227"/>
      <c r="D87" s="57" t="s">
        <v>156</v>
      </c>
      <c r="E87" s="60">
        <f t="shared" ref="E87:I91" si="25">+E88</f>
        <v>0</v>
      </c>
      <c r="F87" s="60">
        <f t="shared" si="25"/>
        <v>54500</v>
      </c>
      <c r="G87" s="60">
        <f t="shared" si="25"/>
        <v>6000</v>
      </c>
      <c r="H87" s="60">
        <f t="shared" si="25"/>
        <v>6000</v>
      </c>
      <c r="I87" s="60">
        <f t="shared" si="25"/>
        <v>50000</v>
      </c>
    </row>
    <row r="88" spans="1:9" ht="25.5">
      <c r="A88" s="42">
        <v>4</v>
      </c>
      <c r="B88" s="41"/>
      <c r="C88" s="38"/>
      <c r="D88" s="19" t="s">
        <v>12</v>
      </c>
      <c r="E88" s="64">
        <f>+E89</f>
        <v>0</v>
      </c>
      <c r="F88" s="64">
        <f t="shared" si="25"/>
        <v>54500</v>
      </c>
      <c r="G88" s="64">
        <f t="shared" si="25"/>
        <v>6000</v>
      </c>
      <c r="H88" s="64">
        <f t="shared" si="25"/>
        <v>6000</v>
      </c>
      <c r="I88" s="64">
        <f t="shared" si="25"/>
        <v>50000</v>
      </c>
    </row>
    <row r="89" spans="1:9" ht="25.5">
      <c r="A89" s="222">
        <v>42</v>
      </c>
      <c r="B89" s="223"/>
      <c r="C89" s="224"/>
      <c r="D89" s="18" t="s">
        <v>23</v>
      </c>
      <c r="E89" s="120">
        <v>0</v>
      </c>
      <c r="F89" s="62">
        <v>54500</v>
      </c>
      <c r="G89" s="62">
        <v>6000</v>
      </c>
      <c r="H89" s="62">
        <v>6000</v>
      </c>
      <c r="I89" s="62">
        <v>50000</v>
      </c>
    </row>
    <row r="90" spans="1:9" s="23" customFormat="1" ht="25.5" customHeight="1">
      <c r="A90" s="225" t="s">
        <v>29</v>
      </c>
      <c r="B90" s="226"/>
      <c r="C90" s="227"/>
      <c r="D90" s="57" t="s">
        <v>162</v>
      </c>
      <c r="E90" s="60">
        <f t="shared" si="25"/>
        <v>300</v>
      </c>
      <c r="F90" s="60">
        <f t="shared" si="25"/>
        <v>2500</v>
      </c>
      <c r="G90" s="60">
        <f t="shared" si="25"/>
        <v>7000</v>
      </c>
      <c r="H90" s="60">
        <f t="shared" si="25"/>
        <v>7000</v>
      </c>
      <c r="I90" s="60">
        <f t="shared" si="25"/>
        <v>7000</v>
      </c>
    </row>
    <row r="91" spans="1:9" ht="25.5">
      <c r="A91" s="24">
        <v>4</v>
      </c>
      <c r="B91" s="41"/>
      <c r="C91" s="38"/>
      <c r="D91" s="19" t="s">
        <v>12</v>
      </c>
      <c r="E91" s="64">
        <f t="shared" si="25"/>
        <v>300</v>
      </c>
      <c r="F91" s="64">
        <f t="shared" si="25"/>
        <v>2500</v>
      </c>
      <c r="G91" s="64">
        <f t="shared" si="25"/>
        <v>7000</v>
      </c>
      <c r="H91" s="64">
        <f t="shared" si="25"/>
        <v>7000</v>
      </c>
      <c r="I91" s="64">
        <f t="shared" si="25"/>
        <v>7000</v>
      </c>
    </row>
    <row r="92" spans="1:9" ht="25.5">
      <c r="A92" s="24"/>
      <c r="B92" s="34">
        <v>42</v>
      </c>
      <c r="C92" s="38"/>
      <c r="D92" s="18" t="s">
        <v>23</v>
      </c>
      <c r="E92" s="120">
        <v>300</v>
      </c>
      <c r="F92" s="62">
        <v>2500</v>
      </c>
      <c r="G92" s="62">
        <v>7000</v>
      </c>
      <c r="H92" s="62">
        <v>7000</v>
      </c>
      <c r="I92" s="62">
        <v>7000</v>
      </c>
    </row>
    <row r="93" spans="1:9" s="23" customFormat="1" ht="38.25" customHeight="1">
      <c r="A93" s="225" t="s">
        <v>163</v>
      </c>
      <c r="B93" s="226"/>
      <c r="C93" s="227"/>
      <c r="D93" s="57" t="s">
        <v>169</v>
      </c>
      <c r="E93" s="60">
        <f>+E94+E96</f>
        <v>325</v>
      </c>
      <c r="F93" s="60">
        <f>+F94+F96</f>
        <v>0</v>
      </c>
      <c r="G93" s="60">
        <f>+G94+G96</f>
        <v>0</v>
      </c>
      <c r="H93" s="60">
        <f>+H94+H96</f>
        <v>0</v>
      </c>
      <c r="I93" s="60">
        <f>+I94+I96</f>
        <v>0</v>
      </c>
    </row>
    <row r="94" spans="1:9">
      <c r="A94" s="24">
        <v>3</v>
      </c>
      <c r="B94" s="34"/>
      <c r="C94" s="38"/>
      <c r="D94" s="19" t="s">
        <v>10</v>
      </c>
      <c r="E94" s="62">
        <f>+E95</f>
        <v>0</v>
      </c>
      <c r="F94" s="62">
        <f>+F95</f>
        <v>0</v>
      </c>
      <c r="G94" s="62">
        <f>+G95</f>
        <v>0</v>
      </c>
      <c r="H94" s="62">
        <f>+H95</f>
        <v>0</v>
      </c>
      <c r="I94" s="62">
        <f>+I95</f>
        <v>0</v>
      </c>
    </row>
    <row r="95" spans="1:9">
      <c r="A95" s="24"/>
      <c r="B95" s="34">
        <v>32</v>
      </c>
      <c r="C95" s="38"/>
      <c r="D95" s="18" t="s">
        <v>21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</row>
    <row r="96" spans="1:9" ht="25.5">
      <c r="A96" s="24">
        <v>4</v>
      </c>
      <c r="B96" s="34"/>
      <c r="C96" s="38"/>
      <c r="D96" s="19" t="s">
        <v>12</v>
      </c>
      <c r="E96" s="62">
        <f>+E97</f>
        <v>325</v>
      </c>
      <c r="F96" s="62">
        <f>+F97</f>
        <v>0</v>
      </c>
      <c r="G96" s="62">
        <f>+G97</f>
        <v>0</v>
      </c>
      <c r="H96" s="62">
        <f>+H97</f>
        <v>0</v>
      </c>
      <c r="I96" s="62">
        <f>+I97</f>
        <v>0</v>
      </c>
    </row>
    <row r="97" spans="1:9" ht="27" customHeight="1">
      <c r="A97" s="24"/>
      <c r="B97" s="34">
        <v>42</v>
      </c>
      <c r="C97" s="38"/>
      <c r="D97" s="18" t="s">
        <v>23</v>
      </c>
      <c r="E97" s="62">
        <v>325</v>
      </c>
      <c r="F97" s="62">
        <v>0</v>
      </c>
      <c r="G97" s="62">
        <v>0</v>
      </c>
      <c r="H97" s="62">
        <v>0</v>
      </c>
      <c r="I97" s="62">
        <v>0</v>
      </c>
    </row>
    <row r="99" spans="1:9">
      <c r="C99" s="55"/>
    </row>
  </sheetData>
  <mergeCells count="66">
    <mergeCell ref="A9:C9"/>
    <mergeCell ref="A18:C18"/>
    <mergeCell ref="A17:C17"/>
    <mergeCell ref="A10:C10"/>
    <mergeCell ref="A12:C12"/>
    <mergeCell ref="A13:C13"/>
    <mergeCell ref="A14:C14"/>
    <mergeCell ref="A15:C15"/>
    <mergeCell ref="A16:C16"/>
    <mergeCell ref="A5:I5"/>
    <mergeCell ref="A19:C19"/>
    <mergeCell ref="A69:C69"/>
    <mergeCell ref="A21:C21"/>
    <mergeCell ref="A64:C64"/>
    <mergeCell ref="A62:C62"/>
    <mergeCell ref="A61:C61"/>
    <mergeCell ref="A68:C68"/>
    <mergeCell ref="A20:C20"/>
    <mergeCell ref="A65:C65"/>
    <mergeCell ref="A48:C48"/>
    <mergeCell ref="A60:C60"/>
    <mergeCell ref="A50:C50"/>
    <mergeCell ref="A51:C51"/>
    <mergeCell ref="A37:C37"/>
    <mergeCell ref="A11:C11"/>
    <mergeCell ref="A34:C34"/>
    <mergeCell ref="A73:C73"/>
    <mergeCell ref="A74:C74"/>
    <mergeCell ref="A22:C22"/>
    <mergeCell ref="A26:C26"/>
    <mergeCell ref="A30:C30"/>
    <mergeCell ref="A40:C40"/>
    <mergeCell ref="A44:C44"/>
    <mergeCell ref="A41:C41"/>
    <mergeCell ref="A67:C67"/>
    <mergeCell ref="A52:C52"/>
    <mergeCell ref="A54:C54"/>
    <mergeCell ref="A45:C45"/>
    <mergeCell ref="A47:C47"/>
    <mergeCell ref="A38:C38"/>
    <mergeCell ref="A35:C35"/>
    <mergeCell ref="A56:C56"/>
    <mergeCell ref="A93:C93"/>
    <mergeCell ref="A82:C82"/>
    <mergeCell ref="A83:C83"/>
    <mergeCell ref="A84:C84"/>
    <mergeCell ref="A85:C85"/>
    <mergeCell ref="A87:C87"/>
    <mergeCell ref="A89:C89"/>
    <mergeCell ref="A57:C57"/>
    <mergeCell ref="A3:I3"/>
    <mergeCell ref="A1:I1"/>
    <mergeCell ref="B75:C75"/>
    <mergeCell ref="A86:C86"/>
    <mergeCell ref="A90:C90"/>
    <mergeCell ref="A72:C72"/>
    <mergeCell ref="A77:C77"/>
    <mergeCell ref="A78:C78"/>
    <mergeCell ref="A79:C79"/>
    <mergeCell ref="A8:C8"/>
    <mergeCell ref="A25:C25"/>
    <mergeCell ref="A29:C29"/>
    <mergeCell ref="B23:C23"/>
    <mergeCell ref="B24:C24"/>
    <mergeCell ref="B27:C27"/>
    <mergeCell ref="B28:C28"/>
  </mergeCells>
  <pageMargins left="0.7" right="0.7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037F-20FD-4599-BE73-83620152FF27}">
  <dimension ref="A1:A129"/>
  <sheetViews>
    <sheetView workbookViewId="0">
      <selection activeCell="A79" sqref="A79"/>
    </sheetView>
  </sheetViews>
  <sheetFormatPr defaultRowHeight="15"/>
  <cols>
    <col min="1" max="1" width="115.42578125" customWidth="1"/>
  </cols>
  <sheetData>
    <row r="1" spans="1:1" ht="15.75">
      <c r="A1" s="78" t="s">
        <v>80</v>
      </c>
    </row>
    <row r="2" spans="1:1" ht="15.75">
      <c r="A2" s="79"/>
    </row>
    <row r="3" spans="1:1" ht="15.75">
      <c r="A3" s="79" t="s">
        <v>182</v>
      </c>
    </row>
    <row r="4" spans="1:1" ht="15.75">
      <c r="A4" s="79" t="s">
        <v>81</v>
      </c>
    </row>
    <row r="5" spans="1:1">
      <c r="A5" s="80"/>
    </row>
    <row r="6" spans="1:1">
      <c r="A6" s="81" t="s">
        <v>82</v>
      </c>
    </row>
    <row r="7" spans="1:1">
      <c r="A7" s="80"/>
    </row>
    <row r="8" spans="1:1" ht="30">
      <c r="A8" s="82" t="s">
        <v>187</v>
      </c>
    </row>
    <row r="9" spans="1:1">
      <c r="A9" s="82" t="s">
        <v>183</v>
      </c>
    </row>
    <row r="10" spans="1:1" ht="60">
      <c r="A10" s="82" t="s">
        <v>124</v>
      </c>
    </row>
    <row r="11" spans="1:1">
      <c r="A11" s="82"/>
    </row>
    <row r="12" spans="1:1">
      <c r="A12" s="82" t="s">
        <v>166</v>
      </c>
    </row>
    <row r="13" spans="1:1">
      <c r="A13" s="82" t="s">
        <v>188</v>
      </c>
    </row>
    <row r="14" spans="1:1">
      <c r="A14" s="82" t="s">
        <v>189</v>
      </c>
    </row>
    <row r="15" spans="1:1">
      <c r="A15" s="82" t="s">
        <v>190</v>
      </c>
    </row>
    <row r="16" spans="1:1">
      <c r="A16" s="82" t="s">
        <v>191</v>
      </c>
    </row>
    <row r="17" spans="1:1">
      <c r="A17" s="82" t="s">
        <v>167</v>
      </c>
    </row>
    <row r="18" spans="1:1">
      <c r="A18" s="82" t="s">
        <v>192</v>
      </c>
    </row>
    <row r="19" spans="1:1">
      <c r="A19" s="82" t="s">
        <v>83</v>
      </c>
    </row>
    <row r="20" spans="1:1">
      <c r="A20" s="82"/>
    </row>
    <row r="21" spans="1:1" ht="30">
      <c r="A21" s="82" t="s">
        <v>184</v>
      </c>
    </row>
    <row r="22" spans="1:1">
      <c r="A22" s="82"/>
    </row>
    <row r="23" spans="1:1">
      <c r="A23" s="82"/>
    </row>
    <row r="24" spans="1:1" ht="30">
      <c r="A24" s="83" t="s">
        <v>193</v>
      </c>
    </row>
    <row r="25" spans="1:1" ht="75">
      <c r="A25" s="127" t="s">
        <v>212</v>
      </c>
    </row>
    <row r="26" spans="1:1" ht="30">
      <c r="A26" s="82" t="s">
        <v>185</v>
      </c>
    </row>
    <row r="27" spans="1:1" ht="30">
      <c r="A27" s="82" t="s">
        <v>84</v>
      </c>
    </row>
    <row r="28" spans="1:1">
      <c r="A28" s="82"/>
    </row>
    <row r="29" spans="1:1">
      <c r="A29" s="82" t="s">
        <v>186</v>
      </c>
    </row>
    <row r="30" spans="1:1">
      <c r="A30" s="82"/>
    </row>
    <row r="31" spans="1:1">
      <c r="A31" s="82"/>
    </row>
    <row r="32" spans="1:1" ht="30">
      <c r="A32" s="83" t="s">
        <v>194</v>
      </c>
    </row>
    <row r="33" spans="1:1">
      <c r="A33" s="82" t="s">
        <v>85</v>
      </c>
    </row>
    <row r="34" spans="1:1" ht="45">
      <c r="A34" s="82" t="s">
        <v>195</v>
      </c>
    </row>
    <row r="35" spans="1:1">
      <c r="A35" s="82"/>
    </row>
    <row r="36" spans="1:1">
      <c r="A36" s="82" t="s">
        <v>196</v>
      </c>
    </row>
    <row r="37" spans="1:1">
      <c r="A37" s="82"/>
    </row>
    <row r="38" spans="1:1">
      <c r="A38" s="82"/>
    </row>
    <row r="39" spans="1:1">
      <c r="A39" s="83" t="s">
        <v>197</v>
      </c>
    </row>
    <row r="40" spans="1:1" ht="30">
      <c r="A40" s="82" t="s">
        <v>86</v>
      </c>
    </row>
    <row r="41" spans="1:1" ht="30">
      <c r="A41" s="82" t="s">
        <v>198</v>
      </c>
    </row>
    <row r="42" spans="1:1">
      <c r="A42" s="82" t="s">
        <v>87</v>
      </c>
    </row>
    <row r="43" spans="1:1">
      <c r="A43" s="82" t="s">
        <v>128</v>
      </c>
    </row>
    <row r="44" spans="1:1">
      <c r="A44" s="82"/>
    </row>
    <row r="45" spans="1:1">
      <c r="A45" s="82"/>
    </row>
    <row r="46" spans="1:1">
      <c r="A46" s="83" t="s">
        <v>199</v>
      </c>
    </row>
    <row r="47" spans="1:1">
      <c r="A47" s="82" t="s">
        <v>88</v>
      </c>
    </row>
    <row r="48" spans="1:1" ht="30">
      <c r="A48" s="82" t="s">
        <v>200</v>
      </c>
    </row>
    <row r="49" spans="1:1" ht="30">
      <c r="A49" s="82" t="s">
        <v>89</v>
      </c>
    </row>
    <row r="50" spans="1:1">
      <c r="A50" s="82" t="s">
        <v>90</v>
      </c>
    </row>
    <row r="51" spans="1:1">
      <c r="A51" s="82"/>
    </row>
    <row r="52" spans="1:1" ht="30">
      <c r="A52" s="82" t="s">
        <v>201</v>
      </c>
    </row>
    <row r="53" spans="1:1">
      <c r="A53" s="82"/>
    </row>
    <row r="54" spans="1:1">
      <c r="A54" s="82"/>
    </row>
    <row r="55" spans="1:1">
      <c r="A55" s="83" t="s">
        <v>202</v>
      </c>
    </row>
    <row r="56" spans="1:1" ht="30">
      <c r="A56" s="82" t="s">
        <v>91</v>
      </c>
    </row>
    <row r="57" spans="1:1" ht="45">
      <c r="A57" s="82" t="s">
        <v>203</v>
      </c>
    </row>
    <row r="58" spans="1:1">
      <c r="A58" s="82" t="s">
        <v>129</v>
      </c>
    </row>
    <row r="59" spans="1:1">
      <c r="A59" s="82" t="s">
        <v>204</v>
      </c>
    </row>
    <row r="60" spans="1:1">
      <c r="A60" s="82"/>
    </row>
    <row r="61" spans="1:1">
      <c r="A61" s="82"/>
    </row>
    <row r="62" spans="1:1">
      <c r="A62" s="83" t="s">
        <v>205</v>
      </c>
    </row>
    <row r="63" spans="1:1">
      <c r="A63" s="82" t="s">
        <v>206</v>
      </c>
    </row>
    <row r="64" spans="1:1" ht="30">
      <c r="A64" s="82" t="s">
        <v>91</v>
      </c>
    </row>
    <row r="65" spans="1:1">
      <c r="A65" s="82"/>
    </row>
    <row r="66" spans="1:1">
      <c r="A66" s="82"/>
    </row>
    <row r="67" spans="1:1">
      <c r="A67" s="83" t="s">
        <v>127</v>
      </c>
    </row>
    <row r="68" spans="1:1">
      <c r="A68" s="82" t="s">
        <v>92</v>
      </c>
    </row>
    <row r="69" spans="1:1">
      <c r="A69" s="82"/>
    </row>
    <row r="70" spans="1:1">
      <c r="A70" s="82"/>
    </row>
    <row r="71" spans="1:1">
      <c r="A71" s="82"/>
    </row>
    <row r="72" spans="1:1">
      <c r="A72" s="82"/>
    </row>
    <row r="73" spans="1:1">
      <c r="A73" s="82"/>
    </row>
    <row r="74" spans="1:1">
      <c r="A74" s="82"/>
    </row>
    <row r="75" spans="1:1">
      <c r="A75" s="82"/>
    </row>
    <row r="76" spans="1:1">
      <c r="A76" s="82"/>
    </row>
    <row r="77" spans="1:1">
      <c r="A77" s="83" t="s">
        <v>93</v>
      </c>
    </row>
    <row r="78" spans="1:1">
      <c r="A78" s="82"/>
    </row>
    <row r="79" spans="1:1">
      <c r="A79" s="82" t="s">
        <v>94</v>
      </c>
    </row>
    <row r="80" spans="1:1">
      <c r="A80" s="110" t="s">
        <v>207</v>
      </c>
    </row>
    <row r="81" spans="1:1">
      <c r="A81" s="110" t="s">
        <v>208</v>
      </c>
    </row>
    <row r="82" spans="1:1">
      <c r="A82" s="110" t="s">
        <v>209</v>
      </c>
    </row>
    <row r="83" spans="1:1" ht="30">
      <c r="A83" s="82" t="s">
        <v>210</v>
      </c>
    </row>
    <row r="84" spans="1:1">
      <c r="A84" s="82"/>
    </row>
    <row r="85" spans="1:1">
      <c r="A85" s="82" t="s">
        <v>95</v>
      </c>
    </row>
    <row r="86" spans="1:1">
      <c r="A86" s="82"/>
    </row>
    <row r="87" spans="1:1">
      <c r="A87" s="82"/>
    </row>
    <row r="88" spans="1:1">
      <c r="A88" s="83" t="s">
        <v>211</v>
      </c>
    </row>
    <row r="89" spans="1:1" ht="90">
      <c r="A89" s="127" t="s">
        <v>218</v>
      </c>
    </row>
    <row r="90" spans="1:1">
      <c r="A90" s="82" t="s">
        <v>219</v>
      </c>
    </row>
    <row r="91" spans="1:1" ht="30">
      <c r="A91" s="129" t="s">
        <v>221</v>
      </c>
    </row>
    <row r="92" spans="1:1">
      <c r="A92" s="129" t="s">
        <v>220</v>
      </c>
    </row>
    <row r="93" spans="1:1">
      <c r="A93" s="82" t="s">
        <v>222</v>
      </c>
    </row>
    <row r="94" spans="1:1">
      <c r="A94" s="82" t="s">
        <v>223</v>
      </c>
    </row>
    <row r="95" spans="1:1">
      <c r="A95" s="82"/>
    </row>
    <row r="96" spans="1:1">
      <c r="A96" s="82"/>
    </row>
    <row r="97" spans="1:1" ht="30">
      <c r="A97" s="83" t="s">
        <v>213</v>
      </c>
    </row>
    <row r="98" spans="1:1" ht="30">
      <c r="A98" s="82" t="s">
        <v>214</v>
      </c>
    </row>
    <row r="99" spans="1:1" ht="30">
      <c r="A99" s="83" t="s">
        <v>224</v>
      </c>
    </row>
    <row r="100" spans="1:1" ht="22.5" customHeight="1">
      <c r="A100" s="83" t="s">
        <v>226</v>
      </c>
    </row>
    <row r="101" spans="1:1" ht="45">
      <c r="A101" s="82" t="s">
        <v>225</v>
      </c>
    </row>
    <row r="102" spans="1:1">
      <c r="A102" s="82" t="s">
        <v>227</v>
      </c>
    </row>
    <row r="103" spans="1:1" ht="60">
      <c r="A103" s="82" t="s">
        <v>228</v>
      </c>
    </row>
    <row r="104" spans="1:1">
      <c r="A104" s="82"/>
    </row>
    <row r="105" spans="1:1">
      <c r="A105" s="82"/>
    </row>
    <row r="106" spans="1:1" ht="45">
      <c r="A106" s="128" t="s">
        <v>215</v>
      </c>
    </row>
    <row r="107" spans="1:1" ht="45">
      <c r="A107" s="82" t="s">
        <v>216</v>
      </c>
    </row>
    <row r="108" spans="1:1" ht="90">
      <c r="A108" s="127" t="s">
        <v>217</v>
      </c>
    </row>
    <row r="109" spans="1:1">
      <c r="A109" s="82"/>
    </row>
    <row r="110" spans="1:1">
      <c r="A110" s="83"/>
    </row>
    <row r="111" spans="1:1">
      <c r="A111" s="83" t="s">
        <v>229</v>
      </c>
    </row>
    <row r="112" spans="1:1" ht="45">
      <c r="A112" s="127" t="s">
        <v>230</v>
      </c>
    </row>
    <row r="113" spans="1:1">
      <c r="A113" s="127"/>
    </row>
    <row r="114" spans="1:1">
      <c r="A114" s="82"/>
    </row>
    <row r="115" spans="1:1">
      <c r="A115" s="83" t="s">
        <v>231</v>
      </c>
    </row>
    <row r="116" spans="1:1" ht="30">
      <c r="A116" s="82" t="s">
        <v>232</v>
      </c>
    </row>
    <row r="117" spans="1:1">
      <c r="A117" s="82" t="s">
        <v>233</v>
      </c>
    </row>
    <row r="118" spans="1:1">
      <c r="A118" s="82"/>
    </row>
    <row r="119" spans="1:1">
      <c r="A119" s="82"/>
    </row>
    <row r="120" spans="1:1">
      <c r="A120" s="83" t="s">
        <v>235</v>
      </c>
    </row>
    <row r="121" spans="1:1" ht="30">
      <c r="A121" s="82" t="s">
        <v>234</v>
      </c>
    </row>
    <row r="122" spans="1:1">
      <c r="A122" s="82"/>
    </row>
    <row r="123" spans="1:1">
      <c r="A123" s="82"/>
    </row>
    <row r="124" spans="1:1" ht="30">
      <c r="A124" s="83" t="s">
        <v>236</v>
      </c>
    </row>
    <row r="127" spans="1:1">
      <c r="A127" t="s">
        <v>237</v>
      </c>
    </row>
    <row r="128" spans="1:1">
      <c r="A128" t="s">
        <v>238</v>
      </c>
    </row>
    <row r="129" spans="1:1">
      <c r="A129" t="s">
        <v>239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7C8D-99B9-4292-BD9B-BE321DB30B72}">
  <sheetPr>
    <pageSetUpPr fitToPage="1"/>
  </sheetPr>
  <dimension ref="A1:G70"/>
  <sheetViews>
    <sheetView topLeftCell="A58" workbookViewId="0">
      <selection activeCell="A68" sqref="A68"/>
    </sheetView>
  </sheetViews>
  <sheetFormatPr defaultRowHeight="15"/>
  <cols>
    <col min="1" max="1" width="65.42578125" customWidth="1"/>
    <col min="2" max="2" width="19.140625" customWidth="1"/>
    <col min="3" max="3" width="10.140625" customWidth="1"/>
  </cols>
  <sheetData>
    <row r="1" spans="1:7" ht="18">
      <c r="A1" s="284" t="s">
        <v>96</v>
      </c>
      <c r="B1" s="284"/>
      <c r="C1" s="284"/>
      <c r="D1" s="284"/>
      <c r="E1" s="284"/>
      <c r="F1" s="284"/>
      <c r="G1" s="284"/>
    </row>
    <row r="2" spans="1:7" ht="15.75">
      <c r="A2" s="111"/>
    </row>
    <row r="3" spans="1:7" ht="15.75">
      <c r="A3" s="283" t="s">
        <v>97</v>
      </c>
      <c r="B3" s="283"/>
      <c r="C3" s="283"/>
      <c r="D3" s="283"/>
      <c r="E3" s="283"/>
      <c r="F3" s="283"/>
      <c r="G3" s="283"/>
    </row>
    <row r="4" spans="1:7" ht="15.75">
      <c r="A4" s="111"/>
    </row>
    <row r="5" spans="1:7" ht="15.75">
      <c r="A5" s="283" t="s">
        <v>98</v>
      </c>
      <c r="B5" s="283"/>
      <c r="C5" s="283"/>
      <c r="D5" s="283"/>
      <c r="E5" s="283"/>
      <c r="F5" s="283"/>
      <c r="G5" s="283"/>
    </row>
    <row r="6" spans="1:7" ht="16.5" thickBot="1">
      <c r="A6" s="112"/>
    </row>
    <row r="7" spans="1:7" ht="16.5" thickBot="1">
      <c r="A7" s="249" t="s">
        <v>244</v>
      </c>
      <c r="B7" s="250"/>
      <c r="C7" s="250"/>
      <c r="D7" s="250"/>
      <c r="E7" s="250"/>
      <c r="F7" s="250"/>
      <c r="G7" s="251"/>
    </row>
    <row r="8" spans="1:7">
      <c r="A8" s="252" t="s">
        <v>99</v>
      </c>
      <c r="B8" s="253"/>
      <c r="C8" s="253"/>
      <c r="D8" s="253"/>
      <c r="E8" s="253"/>
      <c r="F8" s="253"/>
      <c r="G8" s="254"/>
    </row>
    <row r="9" spans="1:7">
      <c r="A9" s="255" t="s">
        <v>245</v>
      </c>
      <c r="B9" s="256"/>
      <c r="C9" s="256"/>
      <c r="D9" s="256"/>
      <c r="E9" s="256"/>
      <c r="F9" s="256"/>
      <c r="G9" s="257"/>
    </row>
    <row r="10" spans="1:7">
      <c r="A10" s="255" t="s">
        <v>246</v>
      </c>
      <c r="B10" s="256"/>
      <c r="C10" s="256"/>
      <c r="D10" s="256"/>
      <c r="E10" s="256"/>
      <c r="F10" s="256"/>
      <c r="G10" s="257"/>
    </row>
    <row r="11" spans="1:7">
      <c r="A11" s="255" t="s">
        <v>100</v>
      </c>
      <c r="B11" s="256"/>
      <c r="C11" s="256"/>
      <c r="D11" s="256"/>
      <c r="E11" s="256"/>
      <c r="F11" s="256"/>
      <c r="G11" s="257"/>
    </row>
    <row r="12" spans="1:7" ht="15.75" thickBot="1">
      <c r="A12" s="261" t="s">
        <v>247</v>
      </c>
      <c r="B12" s="262"/>
      <c r="C12" s="262"/>
      <c r="D12" s="262"/>
      <c r="E12" s="262"/>
      <c r="F12" s="262"/>
      <c r="G12" s="263"/>
    </row>
    <row r="13" spans="1:7" ht="15" customHeight="1">
      <c r="A13" s="258" t="s">
        <v>101</v>
      </c>
      <c r="B13" s="259"/>
      <c r="C13" s="259"/>
      <c r="D13" s="259"/>
      <c r="E13" s="259"/>
      <c r="F13" s="259"/>
      <c r="G13" s="260"/>
    </row>
    <row r="14" spans="1:7">
      <c r="A14" s="264" t="s">
        <v>102</v>
      </c>
      <c r="B14" s="265"/>
      <c r="C14" s="265"/>
      <c r="D14" s="265"/>
      <c r="E14" s="265"/>
      <c r="F14" s="265"/>
      <c r="G14" s="266"/>
    </row>
    <row r="15" spans="1:7">
      <c r="A15" s="267"/>
      <c r="B15" s="268"/>
      <c r="C15" s="268"/>
      <c r="D15" s="268"/>
      <c r="E15" s="268"/>
      <c r="F15" s="268"/>
      <c r="G15" s="269"/>
    </row>
    <row r="16" spans="1:7">
      <c r="A16" s="267" t="s">
        <v>103</v>
      </c>
      <c r="B16" s="268"/>
      <c r="C16" s="268"/>
      <c r="D16" s="268"/>
      <c r="E16" s="268"/>
      <c r="F16" s="268"/>
      <c r="G16" s="269"/>
    </row>
    <row r="17" spans="1:7" ht="15.75" customHeight="1" thickBot="1">
      <c r="A17" s="270" t="s">
        <v>104</v>
      </c>
      <c r="B17" s="271"/>
      <c r="C17" s="271"/>
      <c r="D17" s="271"/>
      <c r="E17" s="271"/>
      <c r="F17" s="271"/>
      <c r="G17" s="272"/>
    </row>
    <row r="18" spans="1:7" ht="15.75" customHeight="1" thickBot="1">
      <c r="A18" s="273" t="s">
        <v>248</v>
      </c>
      <c r="B18" s="274"/>
      <c r="C18" s="274"/>
      <c r="D18" s="274"/>
      <c r="E18" s="274"/>
      <c r="F18" s="274"/>
      <c r="G18" s="275"/>
    </row>
    <row r="19" spans="1:7" ht="15.75" thickBot="1">
      <c r="A19" s="240" t="s">
        <v>105</v>
      </c>
      <c r="B19" s="241"/>
      <c r="C19" s="241"/>
      <c r="D19" s="242"/>
      <c r="E19" s="246" t="s">
        <v>106</v>
      </c>
      <c r="F19" s="247"/>
      <c r="G19" s="248"/>
    </row>
    <row r="20" spans="1:7" ht="15.75" thickBot="1">
      <c r="A20" s="243"/>
      <c r="B20" s="244"/>
      <c r="C20" s="244"/>
      <c r="D20" s="245"/>
      <c r="E20" s="113" t="s">
        <v>107</v>
      </c>
      <c r="F20" s="113" t="s">
        <v>108</v>
      </c>
      <c r="G20" s="113" t="s">
        <v>240</v>
      </c>
    </row>
    <row r="21" spans="1:7" ht="24" customHeight="1">
      <c r="A21" s="279" t="s">
        <v>249</v>
      </c>
      <c r="B21" s="280"/>
      <c r="C21" s="280"/>
      <c r="D21" s="281"/>
      <c r="E21" s="276">
        <v>5378214</v>
      </c>
      <c r="F21" s="276">
        <v>5355224</v>
      </c>
      <c r="G21" s="276">
        <v>5358174</v>
      </c>
    </row>
    <row r="22" spans="1:7" ht="43.5" customHeight="1">
      <c r="A22" s="264" t="s">
        <v>250</v>
      </c>
      <c r="B22" s="265"/>
      <c r="C22" s="265"/>
      <c r="D22" s="266"/>
      <c r="E22" s="277"/>
      <c r="F22" s="277"/>
      <c r="G22" s="277"/>
    </row>
    <row r="23" spans="1:7" ht="16.5" customHeight="1">
      <c r="A23" s="264" t="s">
        <v>241</v>
      </c>
      <c r="B23" s="265"/>
      <c r="C23" s="265"/>
      <c r="D23" s="266"/>
      <c r="E23" s="277"/>
      <c r="F23" s="277"/>
      <c r="G23" s="277"/>
    </row>
    <row r="24" spans="1:7" ht="54.75" customHeight="1">
      <c r="A24" s="264" t="s">
        <v>251</v>
      </c>
      <c r="B24" s="265"/>
      <c r="C24" s="265"/>
      <c r="D24" s="266"/>
      <c r="E24" s="277"/>
      <c r="F24" s="277"/>
      <c r="G24" s="277"/>
    </row>
    <row r="25" spans="1:7" ht="58.5" customHeight="1" thickBot="1">
      <c r="A25" s="270" t="s">
        <v>252</v>
      </c>
      <c r="B25" s="271"/>
      <c r="C25" s="271"/>
      <c r="D25" s="272"/>
      <c r="E25" s="278"/>
      <c r="F25" s="278"/>
      <c r="G25" s="278"/>
    </row>
    <row r="26" spans="1:7" ht="30" customHeight="1" thickBot="1">
      <c r="A26" s="273" t="s">
        <v>253</v>
      </c>
      <c r="B26" s="274"/>
      <c r="C26" s="274"/>
      <c r="D26" s="274"/>
      <c r="E26" s="274"/>
      <c r="F26" s="274"/>
      <c r="G26" s="275"/>
    </row>
    <row r="27" spans="1:7" ht="15.75" customHeight="1" thickBot="1">
      <c r="A27" s="240" t="s">
        <v>105</v>
      </c>
      <c r="B27" s="241"/>
      <c r="C27" s="241"/>
      <c r="D27" s="242"/>
      <c r="E27" s="246" t="s">
        <v>106</v>
      </c>
      <c r="F27" s="247"/>
      <c r="G27" s="248"/>
    </row>
    <row r="28" spans="1:7" ht="15" customHeight="1" thickBot="1">
      <c r="A28" s="243"/>
      <c r="B28" s="244"/>
      <c r="C28" s="244"/>
      <c r="D28" s="245"/>
      <c r="E28" s="113" t="s">
        <v>107</v>
      </c>
      <c r="F28" s="113" t="s">
        <v>108</v>
      </c>
      <c r="G28" s="113" t="s">
        <v>240</v>
      </c>
    </row>
    <row r="29" spans="1:7" ht="27.75" customHeight="1">
      <c r="A29" s="279" t="s">
        <v>254</v>
      </c>
      <c r="B29" s="280"/>
      <c r="C29" s="280"/>
      <c r="D29" s="281"/>
      <c r="E29" s="276">
        <v>30900</v>
      </c>
      <c r="F29" s="276">
        <v>29900</v>
      </c>
      <c r="G29" s="276">
        <v>29900</v>
      </c>
    </row>
    <row r="30" spans="1:7" ht="27" customHeight="1">
      <c r="A30" s="264" t="s">
        <v>109</v>
      </c>
      <c r="B30" s="265"/>
      <c r="C30" s="265"/>
      <c r="D30" s="266"/>
      <c r="E30" s="277"/>
      <c r="F30" s="277"/>
      <c r="G30" s="277"/>
    </row>
    <row r="31" spans="1:7" ht="31.5" customHeight="1">
      <c r="A31" s="264" t="s">
        <v>255</v>
      </c>
      <c r="B31" s="265"/>
      <c r="C31" s="265"/>
      <c r="D31" s="266"/>
      <c r="E31" s="277"/>
      <c r="F31" s="277"/>
      <c r="G31" s="277"/>
    </row>
    <row r="32" spans="1:7" ht="30.75" customHeight="1">
      <c r="A32" s="264" t="s">
        <v>256</v>
      </c>
      <c r="B32" s="265"/>
      <c r="C32" s="265"/>
      <c r="D32" s="266"/>
      <c r="E32" s="277"/>
      <c r="F32" s="277"/>
      <c r="G32" s="277"/>
    </row>
    <row r="33" spans="1:7" ht="15.75" customHeight="1">
      <c r="A33" s="295" t="s">
        <v>257</v>
      </c>
      <c r="B33" s="296"/>
      <c r="C33" s="296"/>
      <c r="D33" s="297"/>
      <c r="E33" s="277"/>
      <c r="F33" s="277"/>
      <c r="G33" s="277"/>
    </row>
    <row r="34" spans="1:7" ht="15.75" customHeight="1">
      <c r="A34" s="295" t="s">
        <v>258</v>
      </c>
      <c r="B34" s="296"/>
      <c r="C34" s="296"/>
      <c r="D34" s="297"/>
      <c r="E34" s="277"/>
      <c r="F34" s="277"/>
      <c r="G34" s="277"/>
    </row>
    <row r="35" spans="1:7" ht="15.75" customHeight="1">
      <c r="A35" s="264" t="s">
        <v>125</v>
      </c>
      <c r="B35" s="265"/>
      <c r="C35" s="265"/>
      <c r="D35" s="266"/>
      <c r="E35" s="277"/>
      <c r="F35" s="277"/>
      <c r="G35" s="277"/>
    </row>
    <row r="36" spans="1:7" ht="30" customHeight="1" thickBot="1">
      <c r="A36" s="270" t="s">
        <v>259</v>
      </c>
      <c r="B36" s="271"/>
      <c r="C36" s="271"/>
      <c r="D36" s="272"/>
      <c r="E36" s="278"/>
      <c r="F36" s="278"/>
      <c r="G36" s="278"/>
    </row>
    <row r="37" spans="1:7" ht="15" customHeight="1" thickBot="1">
      <c r="A37" s="273" t="s">
        <v>260</v>
      </c>
      <c r="B37" s="274"/>
      <c r="C37" s="274"/>
      <c r="D37" s="274"/>
      <c r="E37" s="274"/>
      <c r="F37" s="274"/>
      <c r="G37" s="275"/>
    </row>
    <row r="38" spans="1:7" ht="15.75" customHeight="1" thickBot="1">
      <c r="A38" s="240" t="s">
        <v>105</v>
      </c>
      <c r="B38" s="241"/>
      <c r="C38" s="241"/>
      <c r="D38" s="242"/>
      <c r="E38" s="246" t="s">
        <v>106</v>
      </c>
      <c r="F38" s="247"/>
      <c r="G38" s="248"/>
    </row>
    <row r="39" spans="1:7" ht="15" customHeight="1" thickBot="1">
      <c r="A39" s="243"/>
      <c r="B39" s="244"/>
      <c r="C39" s="244"/>
      <c r="D39" s="245"/>
      <c r="E39" s="113" t="s">
        <v>107</v>
      </c>
      <c r="F39" s="113" t="s">
        <v>108</v>
      </c>
      <c r="G39" s="113" t="s">
        <v>240</v>
      </c>
    </row>
    <row r="40" spans="1:7" ht="53.25" customHeight="1">
      <c r="A40" s="279" t="s">
        <v>261</v>
      </c>
      <c r="B40" s="280"/>
      <c r="C40" s="280"/>
      <c r="D40" s="281"/>
      <c r="E40" s="276">
        <v>6950</v>
      </c>
      <c r="F40" s="276">
        <v>6950</v>
      </c>
      <c r="G40" s="276">
        <v>6950</v>
      </c>
    </row>
    <row r="41" spans="1:7" ht="15.75" customHeight="1">
      <c r="A41" s="264" t="s">
        <v>126</v>
      </c>
      <c r="B41" s="265"/>
      <c r="C41" s="265"/>
      <c r="D41" s="266"/>
      <c r="E41" s="277"/>
      <c r="F41" s="277"/>
      <c r="G41" s="277"/>
    </row>
    <row r="42" spans="1:7" ht="15.75" customHeight="1" thickBot="1">
      <c r="A42" s="270" t="s">
        <v>262</v>
      </c>
      <c r="B42" s="271"/>
      <c r="C42" s="271"/>
      <c r="D42" s="272"/>
      <c r="E42" s="278"/>
      <c r="F42" s="278"/>
      <c r="G42" s="278"/>
    </row>
    <row r="43" spans="1:7" ht="15.75" customHeight="1" thickBot="1">
      <c r="A43" s="273" t="s">
        <v>263</v>
      </c>
      <c r="B43" s="274"/>
      <c r="C43" s="274"/>
      <c r="D43" s="274"/>
      <c r="E43" s="274"/>
      <c r="F43" s="274"/>
      <c r="G43" s="275"/>
    </row>
    <row r="44" spans="1:7" ht="15.75" customHeight="1" thickBot="1">
      <c r="A44" s="240" t="s">
        <v>105</v>
      </c>
      <c r="B44" s="241"/>
      <c r="C44" s="241"/>
      <c r="D44" s="242"/>
      <c r="E44" s="246" t="s">
        <v>106</v>
      </c>
      <c r="F44" s="247"/>
      <c r="G44" s="248"/>
    </row>
    <row r="45" spans="1:7" ht="15" customHeight="1" thickBot="1">
      <c r="A45" s="243"/>
      <c r="B45" s="244"/>
      <c r="C45" s="244"/>
      <c r="D45" s="245"/>
      <c r="E45" s="113" t="s">
        <v>107</v>
      </c>
      <c r="F45" s="113" t="s">
        <v>108</v>
      </c>
      <c r="G45" s="113" t="s">
        <v>240</v>
      </c>
    </row>
    <row r="46" spans="1:7" ht="19.5" customHeight="1">
      <c r="A46" s="279" t="s">
        <v>264</v>
      </c>
      <c r="B46" s="280"/>
      <c r="C46" s="280"/>
      <c r="D46" s="281"/>
      <c r="E46" s="276">
        <v>78900</v>
      </c>
      <c r="F46" s="276">
        <v>70010</v>
      </c>
      <c r="G46" s="276">
        <v>110560</v>
      </c>
    </row>
    <row r="47" spans="1:7" ht="27.75" customHeight="1">
      <c r="A47" s="264" t="s">
        <v>265</v>
      </c>
      <c r="B47" s="265"/>
      <c r="C47" s="265"/>
      <c r="D47" s="266"/>
      <c r="E47" s="277"/>
      <c r="F47" s="277"/>
      <c r="G47" s="277"/>
    </row>
    <row r="48" spans="1:7" ht="27.75" customHeight="1" thickBot="1">
      <c r="A48" s="270" t="s">
        <v>266</v>
      </c>
      <c r="B48" s="271"/>
      <c r="C48" s="271"/>
      <c r="D48" s="272"/>
      <c r="E48" s="278"/>
      <c r="F48" s="278"/>
      <c r="G48" s="278"/>
    </row>
    <row r="49" spans="1:7" ht="39" thickBot="1">
      <c r="A49" s="132" t="s">
        <v>110</v>
      </c>
      <c r="B49" s="133" t="s">
        <v>111</v>
      </c>
      <c r="C49" s="134" t="s">
        <v>112</v>
      </c>
      <c r="D49" s="134" t="s">
        <v>242</v>
      </c>
      <c r="E49" s="134" t="s">
        <v>272</v>
      </c>
      <c r="F49" s="134" t="s">
        <v>273</v>
      </c>
      <c r="G49" s="134" t="s">
        <v>274</v>
      </c>
    </row>
    <row r="50" spans="1:7" ht="90" thickBot="1">
      <c r="A50" s="131" t="s">
        <v>113</v>
      </c>
      <c r="B50" s="114" t="s">
        <v>114</v>
      </c>
      <c r="C50" s="115" t="s">
        <v>115</v>
      </c>
      <c r="D50" s="115">
        <v>675</v>
      </c>
      <c r="E50" s="113">
        <v>680</v>
      </c>
      <c r="F50" s="113">
        <v>680</v>
      </c>
      <c r="G50" s="113">
        <v>680</v>
      </c>
    </row>
    <row r="51" spans="1:7" ht="48.75" customHeight="1" thickBot="1">
      <c r="A51" s="131" t="s">
        <v>116</v>
      </c>
      <c r="B51" s="114" t="s">
        <v>117</v>
      </c>
      <c r="C51" s="115" t="s">
        <v>115</v>
      </c>
      <c r="D51" s="115">
        <v>172</v>
      </c>
      <c r="E51" s="113">
        <v>170</v>
      </c>
      <c r="F51" s="113">
        <v>170</v>
      </c>
      <c r="G51" s="113">
        <v>170</v>
      </c>
    </row>
    <row r="52" spans="1:7" ht="48" customHeight="1" thickBot="1">
      <c r="A52" s="131" t="s">
        <v>267</v>
      </c>
      <c r="B52" s="114" t="s">
        <v>268</v>
      </c>
      <c r="C52" s="115" t="s">
        <v>115</v>
      </c>
      <c r="D52" s="115">
        <v>178</v>
      </c>
      <c r="E52" s="113">
        <v>165</v>
      </c>
      <c r="F52" s="113">
        <v>165</v>
      </c>
      <c r="G52" s="113">
        <v>165</v>
      </c>
    </row>
    <row r="53" spans="1:7" ht="69.75" customHeight="1" thickBot="1">
      <c r="A53" s="131" t="s">
        <v>118</v>
      </c>
      <c r="B53" s="114" t="s">
        <v>269</v>
      </c>
      <c r="C53" s="115" t="s">
        <v>115</v>
      </c>
      <c r="D53" s="115">
        <v>14</v>
      </c>
      <c r="E53" s="113">
        <v>20</v>
      </c>
      <c r="F53" s="113">
        <v>20</v>
      </c>
      <c r="G53" s="113">
        <v>20</v>
      </c>
    </row>
    <row r="54" spans="1:7" ht="174" customHeight="1" thickBot="1">
      <c r="A54" s="131" t="s">
        <v>270</v>
      </c>
      <c r="B54" s="114" t="s">
        <v>271</v>
      </c>
      <c r="C54" s="115" t="s">
        <v>115</v>
      </c>
      <c r="D54" s="115">
        <v>40</v>
      </c>
      <c r="E54" s="113">
        <v>40</v>
      </c>
      <c r="F54" s="113">
        <v>40</v>
      </c>
      <c r="G54" s="113">
        <v>40</v>
      </c>
    </row>
    <row r="55" spans="1:7" ht="113.25" customHeight="1" thickBot="1">
      <c r="A55" s="131" t="s">
        <v>119</v>
      </c>
      <c r="B55" s="114" t="s">
        <v>120</v>
      </c>
      <c r="C55" s="115" t="s">
        <v>115</v>
      </c>
      <c r="D55" s="115">
        <v>20</v>
      </c>
      <c r="E55" s="113">
        <v>20</v>
      </c>
      <c r="F55" s="113">
        <v>20</v>
      </c>
      <c r="G55" s="113">
        <v>20</v>
      </c>
    </row>
    <row r="56" spans="1:7">
      <c r="A56" s="289"/>
      <c r="B56" s="291"/>
      <c r="C56" s="293"/>
      <c r="D56" s="293"/>
      <c r="E56" s="287"/>
      <c r="F56" s="287"/>
      <c r="G56" s="287"/>
    </row>
    <row r="57" spans="1:7">
      <c r="A57" s="290"/>
      <c r="B57" s="292"/>
      <c r="C57" s="294"/>
      <c r="D57" s="294"/>
      <c r="E57" s="288"/>
      <c r="F57" s="288"/>
      <c r="G57" s="288"/>
    </row>
    <row r="58" spans="1:7">
      <c r="A58" s="290"/>
      <c r="B58" s="292"/>
      <c r="C58" s="294"/>
      <c r="D58" s="294"/>
      <c r="E58" s="288"/>
      <c r="F58" s="288"/>
      <c r="G58" s="288"/>
    </row>
    <row r="59" spans="1:7">
      <c r="A59" s="290"/>
      <c r="B59" s="292"/>
      <c r="C59" s="294"/>
      <c r="D59" s="294"/>
      <c r="E59" s="288"/>
      <c r="F59" s="288"/>
      <c r="G59" s="288"/>
    </row>
    <row r="60" spans="1:7" ht="18.75">
      <c r="A60" s="116" t="s">
        <v>121</v>
      </c>
      <c r="B60" s="117"/>
      <c r="C60" s="117"/>
      <c r="D60" s="117"/>
      <c r="E60" s="117"/>
      <c r="F60" s="117"/>
      <c r="G60" s="117"/>
    </row>
    <row r="61" spans="1:7" ht="18.75">
      <c r="A61" s="118"/>
      <c r="B61" s="117"/>
      <c r="C61" s="117"/>
      <c r="D61" s="117"/>
      <c r="E61" s="117"/>
      <c r="F61" s="117"/>
      <c r="G61" s="117"/>
    </row>
    <row r="62" spans="1:7" ht="18.75">
      <c r="A62" s="116" t="s">
        <v>312</v>
      </c>
      <c r="B62" s="117"/>
      <c r="C62" s="117"/>
      <c r="D62" s="117"/>
      <c r="E62" s="117"/>
      <c r="F62" s="117"/>
      <c r="G62" s="117"/>
    </row>
    <row r="63" spans="1:7" ht="18.75">
      <c r="A63" s="118"/>
      <c r="B63" s="117"/>
      <c r="C63" s="117"/>
      <c r="D63" s="117"/>
      <c r="E63" s="117"/>
      <c r="F63" s="117"/>
      <c r="G63" s="117"/>
    </row>
    <row r="64" spans="1:7" ht="45" customHeight="1">
      <c r="A64" s="285" t="s">
        <v>243</v>
      </c>
      <c r="B64" s="286"/>
      <c r="C64" s="286"/>
      <c r="D64" s="286"/>
      <c r="E64" s="286"/>
      <c r="F64" s="286"/>
      <c r="G64" s="286"/>
    </row>
    <row r="65" spans="1:7" ht="18.75">
      <c r="A65" s="119"/>
      <c r="B65" s="117"/>
      <c r="C65" s="117"/>
      <c r="D65" s="117"/>
      <c r="E65" s="117"/>
      <c r="F65" s="117"/>
      <c r="G65" s="117"/>
    </row>
    <row r="66" spans="1:7" ht="18.75">
      <c r="A66" s="119"/>
      <c r="B66" s="117"/>
      <c r="C66" s="117"/>
      <c r="D66" s="117"/>
      <c r="E66" s="117"/>
      <c r="F66" s="117"/>
      <c r="G66" s="117"/>
    </row>
    <row r="67" spans="1:7" ht="18.75">
      <c r="A67" s="152" t="s">
        <v>313</v>
      </c>
      <c r="B67" s="117"/>
      <c r="C67" s="117"/>
      <c r="D67" s="117"/>
      <c r="E67" s="117"/>
      <c r="F67" s="117"/>
      <c r="G67" s="117"/>
    </row>
    <row r="68" spans="1:7" ht="18.75">
      <c r="A68" s="152" t="s">
        <v>314</v>
      </c>
      <c r="B68" s="117"/>
      <c r="C68" s="117"/>
      <c r="D68" s="117"/>
      <c r="E68" s="117"/>
      <c r="F68" s="117"/>
      <c r="G68" s="117"/>
    </row>
    <row r="69" spans="1:7" ht="18.75">
      <c r="A69" s="117"/>
      <c r="B69" s="282" t="s">
        <v>122</v>
      </c>
      <c r="C69" s="282"/>
      <c r="D69" s="282"/>
      <c r="E69" s="282"/>
      <c r="F69" s="282"/>
      <c r="G69" s="282"/>
    </row>
    <row r="70" spans="1:7" ht="18.75">
      <c r="A70" s="117"/>
      <c r="B70" s="282" t="s">
        <v>123</v>
      </c>
      <c r="C70" s="282"/>
      <c r="D70" s="282"/>
      <c r="E70" s="282"/>
      <c r="F70" s="282"/>
      <c r="G70" s="282"/>
    </row>
  </sheetData>
  <mergeCells count="67">
    <mergeCell ref="A32:D32"/>
    <mergeCell ref="E29:E36"/>
    <mergeCell ref="F29:F36"/>
    <mergeCell ref="G29:G36"/>
    <mergeCell ref="A37:G37"/>
    <mergeCell ref="A34:D34"/>
    <mergeCell ref="A35:D35"/>
    <mergeCell ref="A36:D36"/>
    <mergeCell ref="A33:D33"/>
    <mergeCell ref="A29:D29"/>
    <mergeCell ref="A30:D30"/>
    <mergeCell ref="A31:D31"/>
    <mergeCell ref="A38:D39"/>
    <mergeCell ref="E38:G38"/>
    <mergeCell ref="A41:D41"/>
    <mergeCell ref="A42:D42"/>
    <mergeCell ref="E40:E42"/>
    <mergeCell ref="F40:F42"/>
    <mergeCell ref="G40:G42"/>
    <mergeCell ref="A40:D40"/>
    <mergeCell ref="B69:G69"/>
    <mergeCell ref="B70:G70"/>
    <mergeCell ref="A5:G5"/>
    <mergeCell ref="A3:G3"/>
    <mergeCell ref="A1:G1"/>
    <mergeCell ref="A64:G64"/>
    <mergeCell ref="G56:G59"/>
    <mergeCell ref="A56:A59"/>
    <mergeCell ref="B56:B59"/>
    <mergeCell ref="C56:C59"/>
    <mergeCell ref="D56:D59"/>
    <mergeCell ref="E56:E59"/>
    <mergeCell ref="F56:F59"/>
    <mergeCell ref="A48:D48"/>
    <mergeCell ref="E46:E48"/>
    <mergeCell ref="F46:F48"/>
    <mergeCell ref="G46:G48"/>
    <mergeCell ref="A46:D46"/>
    <mergeCell ref="A47:D47"/>
    <mergeCell ref="A43:G43"/>
    <mergeCell ref="A44:D45"/>
    <mergeCell ref="E44:G44"/>
    <mergeCell ref="E21:E25"/>
    <mergeCell ref="F21:F25"/>
    <mergeCell ref="G21:G25"/>
    <mergeCell ref="A26:G26"/>
    <mergeCell ref="A27:D28"/>
    <mergeCell ref="E27:G27"/>
    <mergeCell ref="A21:D21"/>
    <mergeCell ref="A22:D22"/>
    <mergeCell ref="A23:D23"/>
    <mergeCell ref="A25:D25"/>
    <mergeCell ref="A24:D24"/>
    <mergeCell ref="A19:D20"/>
    <mergeCell ref="E19:G19"/>
    <mergeCell ref="A7:G7"/>
    <mergeCell ref="A8:G8"/>
    <mergeCell ref="A9:G9"/>
    <mergeCell ref="A10:G10"/>
    <mergeCell ref="A11:G11"/>
    <mergeCell ref="A13:G13"/>
    <mergeCell ref="A12:G12"/>
    <mergeCell ref="A14:G14"/>
    <mergeCell ref="A15:G15"/>
    <mergeCell ref="A16:G16"/>
    <mergeCell ref="A17:G17"/>
    <mergeCell ref="A18:G18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SAŽETAK</vt:lpstr>
      <vt:lpstr> Račun prihoda i rashoda -ek.kl</vt:lpstr>
      <vt:lpstr> Račun prihoda i rashoda po izv</vt:lpstr>
      <vt:lpstr>Rashodi prema funkcijskoj kl</vt:lpstr>
      <vt:lpstr>Račun financiranja</vt:lpstr>
      <vt:lpstr>Višak-manjak i VPU</vt:lpstr>
      <vt:lpstr>POSEBNI DIO</vt:lpstr>
      <vt:lpstr>OBRAZLOŽENJE-opći dio</vt:lpstr>
      <vt:lpstr>OBRAZLOŽENJE-posebni dio</vt:lpstr>
      <vt:lpstr>' Račun prihoda i rashoda -ek.kl'!Print_Area</vt:lpstr>
      <vt:lpstr>' Račun prihoda i rashoda po izv'!Print_Area</vt:lpstr>
      <vt:lpstr>'POSEBNI DIO'!Print_Area</vt:lpstr>
      <vt:lpstr>'Račun financiranja'!Print_Area</vt:lpstr>
      <vt:lpstr>'Rashodi prema funkcijskoj kl'!Print_Area</vt:lpstr>
      <vt:lpstr>SAŽETAK!Print_Area</vt:lpstr>
      <vt:lpstr>'Višak-manjak i VPU'!Print_Area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PC2</cp:lastModifiedBy>
  <cp:lastPrinted>2025-01-16T07:49:53Z</cp:lastPrinted>
  <dcterms:created xsi:type="dcterms:W3CDTF">2022-08-12T12:51:27Z</dcterms:created>
  <dcterms:modified xsi:type="dcterms:W3CDTF">2025-01-16T07:53:54Z</dcterms:modified>
</cp:coreProperties>
</file>